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D29CA401-3D74-4277-9C1E-0EA23863BC81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677" i="21" l="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5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L316" i="21"/>
  <c r="L315" i="21"/>
  <c r="N314" i="21"/>
  <c r="M314" i="21"/>
  <c r="P314" i="21" s="1"/>
  <c r="O313" i="21"/>
  <c r="P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L256" i="21"/>
  <c r="L255" i="21"/>
  <c r="N254" i="21"/>
  <c r="M254" i="21"/>
  <c r="O253" i="21"/>
  <c r="P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O143" i="21"/>
  <c r="P141" i="21"/>
  <c r="O141" i="21"/>
  <c r="N141" i="21"/>
  <c r="M141" i="2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P119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M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P70" i="21" s="1"/>
  <c r="O69" i="21"/>
  <c r="P67" i="21"/>
  <c r="O67" i="21"/>
  <c r="N67" i="21"/>
  <c r="M67" i="2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P54" i="21"/>
  <c r="O54" i="21"/>
  <c r="N54" i="21"/>
  <c r="M54" i="21"/>
  <c r="L54" i="21"/>
  <c r="N49" i="21"/>
  <c r="L49" i="21"/>
  <c r="M49" i="21" s="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M34" i="21"/>
  <c r="P34" i="21" s="1"/>
  <c r="M33" i="21"/>
  <c r="P33" i="21" s="1"/>
  <c r="M32" i="21"/>
  <c r="P32" i="21" s="1"/>
  <c r="P31" i="21"/>
  <c r="M31" i="21"/>
  <c r="M30" i="21"/>
  <c r="M28" i="21" s="1"/>
  <c r="P28" i="21" s="1"/>
  <c r="P29" i="21"/>
  <c r="M29" i="21"/>
  <c r="O25" i="21"/>
  <c r="N25" i="21"/>
  <c r="N15" i="21" s="1"/>
  <c r="M25" i="21"/>
  <c r="P25" i="21" s="1"/>
  <c r="L25" i="21"/>
  <c r="N24" i="21"/>
  <c r="M24" i="21"/>
  <c r="P24" i="21" s="1"/>
  <c r="N23" i="21"/>
  <c r="M23" i="21"/>
  <c r="P23" i="21" s="1"/>
  <c r="P21" i="21"/>
  <c r="O21" i="21"/>
  <c r="N21" i="21"/>
  <c r="N19" i="21" s="1"/>
  <c r="M21" i="21"/>
  <c r="L21" i="21"/>
  <c r="O19" i="21"/>
  <c r="M19" i="21"/>
  <c r="P19" i="21" s="1"/>
  <c r="L19" i="21"/>
  <c r="L15" i="21"/>
  <c r="O15" i="21" s="1"/>
  <c r="M11" i="21"/>
  <c r="P11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6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O330" i="20"/>
  <c r="N330" i="20"/>
  <c r="M330" i="20"/>
  <c r="P330" i="20" s="1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N311" i="20"/>
  <c r="M311" i="20"/>
  <c r="P311" i="20" s="1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O293" i="20"/>
  <c r="P291" i="20"/>
  <c r="N291" i="20"/>
  <c r="M291" i="20"/>
  <c r="L291" i="20"/>
  <c r="O291" i="20" s="1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L277" i="20"/>
  <c r="L276" i="20"/>
  <c r="N275" i="20"/>
  <c r="M275" i="20"/>
  <c r="O274" i="20"/>
  <c r="N272" i="20"/>
  <c r="M272" i="20"/>
  <c r="P272" i="20" s="1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N251" i="20"/>
  <c r="M251" i="20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N221" i="20"/>
  <c r="M221" i="20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O141" i="20"/>
  <c r="N141" i="20"/>
  <c r="M141" i="20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P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P96" i="20" s="1"/>
  <c r="O97" i="20"/>
  <c r="O95" i="20"/>
  <c r="N95" i="20"/>
  <c r="M95" i="20"/>
  <c r="P95" i="20" s="1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O67" i="20"/>
  <c r="N67" i="20"/>
  <c r="M67" i="20"/>
  <c r="L67" i="20"/>
  <c r="J65" i="20"/>
  <c r="I65" i="20"/>
  <c r="J64" i="20"/>
  <c r="I64" i="20"/>
  <c r="N61" i="20"/>
  <c r="L61" i="20"/>
  <c r="L59" i="20"/>
  <c r="L58" i="20"/>
  <c r="N57" i="20"/>
  <c r="M57" i="20"/>
  <c r="P54" i="20"/>
  <c r="N54" i="20"/>
  <c r="M54" i="20"/>
  <c r="L54" i="20"/>
  <c r="O54" i="20" s="1"/>
  <c r="N49" i="20"/>
  <c r="L49" i="20"/>
  <c r="O49" i="20" s="1"/>
  <c r="L47" i="20"/>
  <c r="L46" i="20"/>
  <c r="N45" i="20"/>
  <c r="M45" i="20"/>
  <c r="N42" i="20"/>
  <c r="M42" i="20"/>
  <c r="P42" i="20" s="1"/>
  <c r="L42" i="20"/>
  <c r="P36" i="20"/>
  <c r="O36" i="20"/>
  <c r="P35" i="20"/>
  <c r="O35" i="20"/>
  <c r="M34" i="20"/>
  <c r="P34" i="20" s="1"/>
  <c r="M33" i="20"/>
  <c r="P33" i="20" s="1"/>
  <c r="P32" i="20"/>
  <c r="M32" i="20"/>
  <c r="P31" i="20"/>
  <c r="M31" i="20"/>
  <c r="P30" i="20"/>
  <c r="M30" i="20"/>
  <c r="M29" i="20"/>
  <c r="P29" i="20" s="1"/>
  <c r="M28" i="20"/>
  <c r="P28" i="20" s="1"/>
  <c r="P25" i="20"/>
  <c r="N25" i="20"/>
  <c r="M25" i="20"/>
  <c r="L25" i="20"/>
  <c r="O25" i="20" s="1"/>
  <c r="P24" i="20"/>
  <c r="N24" i="20"/>
  <c r="M24" i="20"/>
  <c r="P23" i="20"/>
  <c r="N23" i="20"/>
  <c r="M23" i="20"/>
  <c r="N21" i="20"/>
  <c r="M21" i="20"/>
  <c r="L21" i="20"/>
  <c r="O21" i="20" s="1"/>
  <c r="L19" i="20"/>
  <c r="O19" i="20" s="1"/>
  <c r="O15" i="20"/>
  <c r="N15" i="20"/>
  <c r="M15" i="20"/>
  <c r="P15" i="20" s="1"/>
  <c r="L15" i="20"/>
  <c r="M14" i="20"/>
  <c r="P14" i="20" s="1"/>
  <c r="M13" i="20"/>
  <c r="P13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5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N554" i="19"/>
  <c r="L554" i="19"/>
  <c r="O554" i="19" s="1"/>
  <c r="N553" i="19"/>
  <c r="L553" i="19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O291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P272" i="19"/>
  <c r="O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P252" i="19" s="1"/>
  <c r="O253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N119" i="19"/>
  <c r="M119" i="19"/>
  <c r="P119" i="19" s="1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P98" i="19" s="1"/>
  <c r="O97" i="19"/>
  <c r="P95" i="19"/>
  <c r="N95" i="19"/>
  <c r="M95" i="19"/>
  <c r="L95" i="19"/>
  <c r="O95" i="19" s="1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M66" i="19" s="1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N54" i="19"/>
  <c r="M54" i="19"/>
  <c r="L54" i="19"/>
  <c r="O54" i="19" s="1"/>
  <c r="N49" i="19"/>
  <c r="L49" i="19"/>
  <c r="O49" i="19" s="1"/>
  <c r="L47" i="19"/>
  <c r="L46" i="19"/>
  <c r="N45" i="19"/>
  <c r="M45" i="19"/>
  <c r="M43" i="19" s="1"/>
  <c r="N42" i="19"/>
  <c r="M42" i="19"/>
  <c r="P42" i="19" s="1"/>
  <c r="L42" i="19"/>
  <c r="P36" i="19"/>
  <c r="O36" i="19"/>
  <c r="P35" i="19"/>
  <c r="O35" i="19"/>
  <c r="M34" i="19"/>
  <c r="P34" i="19" s="1"/>
  <c r="M33" i="19"/>
  <c r="P33" i="19" s="1"/>
  <c r="P32" i="19"/>
  <c r="M32" i="19"/>
  <c r="P31" i="19"/>
  <c r="M31" i="19"/>
  <c r="P30" i="19"/>
  <c r="M30" i="19"/>
  <c r="M29" i="19"/>
  <c r="P29" i="19" s="1"/>
  <c r="M28" i="19"/>
  <c r="P28" i="19" s="1"/>
  <c r="P25" i="19"/>
  <c r="N25" i="19"/>
  <c r="M25" i="19"/>
  <c r="L25" i="19"/>
  <c r="O25" i="19" s="1"/>
  <c r="P24" i="19"/>
  <c r="N24" i="19"/>
  <c r="M24" i="19"/>
  <c r="P23" i="19"/>
  <c r="N23" i="19"/>
  <c r="M23" i="19"/>
  <c r="N21" i="19"/>
  <c r="M21" i="19"/>
  <c r="L21" i="19"/>
  <c r="O21" i="19" s="1"/>
  <c r="L19" i="19"/>
  <c r="O19" i="19" s="1"/>
  <c r="N15" i="19"/>
  <c r="M15" i="19"/>
  <c r="P15" i="19" s="1"/>
  <c r="M14" i="19"/>
  <c r="P14" i="19" s="1"/>
  <c r="M13" i="19"/>
  <c r="P13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P314" i="18" s="1"/>
  <c r="O313" i="18"/>
  <c r="P311" i="18"/>
  <c r="N311" i="18"/>
  <c r="M311" i="18"/>
  <c r="L311" i="18"/>
  <c r="O311" i="18" s="1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O291" i="18"/>
  <c r="N291" i="18"/>
  <c r="M291" i="18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L277" i="18"/>
  <c r="L276" i="18"/>
  <c r="N275" i="18"/>
  <c r="M275" i="18"/>
  <c r="P275" i="18" s="1"/>
  <c r="O274" i="18"/>
  <c r="N272" i="18"/>
  <c r="M272" i="18"/>
  <c r="P272" i="18" s="1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O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O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N54" i="18"/>
  <c r="M54" i="18"/>
  <c r="L54" i="18"/>
  <c r="O54" i="18" s="1"/>
  <c r="N49" i="18"/>
  <c r="L49" i="18"/>
  <c r="M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M32" i="18"/>
  <c r="P32" i="18" s="1"/>
  <c r="M31" i="18"/>
  <c r="P31" i="18" s="1"/>
  <c r="M30" i="18"/>
  <c r="P30" i="18" s="1"/>
  <c r="O25" i="18"/>
  <c r="N25" i="18"/>
  <c r="N15" i="18" s="1"/>
  <c r="M25" i="18"/>
  <c r="P25" i="18" s="1"/>
  <c r="L25" i="18"/>
  <c r="N24" i="18"/>
  <c r="M24" i="18"/>
  <c r="P24" i="18" s="1"/>
  <c r="N23" i="18"/>
  <c r="M23" i="18"/>
  <c r="P21" i="18"/>
  <c r="N21" i="18"/>
  <c r="M21" i="18"/>
  <c r="M19" i="18" s="1"/>
  <c r="L21" i="18"/>
  <c r="O21" i="18" s="1"/>
  <c r="N19" i="18"/>
  <c r="M15" i="18"/>
  <c r="P15" i="18" s="1"/>
  <c r="L15" i="18"/>
  <c r="O15" i="18" s="1"/>
  <c r="M11" i="18"/>
  <c r="P11" i="18" s="1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M337" i="17" s="1"/>
  <c r="L335" i="17"/>
  <c r="L334" i="17"/>
  <c r="N333" i="17"/>
  <c r="M333" i="17"/>
  <c r="O332" i="17"/>
  <c r="O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M292" i="17" s="1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O272" i="17" s="1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O251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M140" i="17" s="1"/>
  <c r="O143" i="17"/>
  <c r="O141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O95" i="17"/>
  <c r="N95" i="17"/>
  <c r="M95" i="17"/>
  <c r="P95" i="17" s="1"/>
  <c r="L95" i="17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O69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N54" i="17"/>
  <c r="M54" i="17"/>
  <c r="P54" i="17" s="1"/>
  <c r="L54" i="17"/>
  <c r="O54" i="17" s="1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M34" i="17"/>
  <c r="P34" i="17" s="1"/>
  <c r="P33" i="17"/>
  <c r="M33" i="17"/>
  <c r="P32" i="17"/>
  <c r="M32" i="17"/>
  <c r="M31" i="17"/>
  <c r="P31" i="17" s="1"/>
  <c r="M30" i="17"/>
  <c r="P30" i="17" s="1"/>
  <c r="M29" i="17"/>
  <c r="P25" i="17"/>
  <c r="O25" i="17"/>
  <c r="N25" i="17"/>
  <c r="M25" i="17"/>
  <c r="L25" i="17"/>
  <c r="N24" i="17"/>
  <c r="M24" i="17"/>
  <c r="P24" i="17" s="1"/>
  <c r="N23" i="17"/>
  <c r="M23" i="17"/>
  <c r="P21" i="17"/>
  <c r="N21" i="17"/>
  <c r="M21" i="17"/>
  <c r="L21" i="17"/>
  <c r="P19" i="17"/>
  <c r="N19" i="17"/>
  <c r="M19" i="17"/>
  <c r="N15" i="17"/>
  <c r="M15" i="17"/>
  <c r="P15" i="17" s="1"/>
  <c r="L15" i="17"/>
  <c r="O15" i="17" s="1"/>
  <c r="P14" i="17"/>
  <c r="M14" i="17"/>
  <c r="M11" i="17"/>
  <c r="P11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O648" i="16" s="1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M49" i="16" s="1"/>
  <c r="L47" i="16"/>
  <c r="L46" i="16"/>
  <c r="N45" i="16"/>
  <c r="M45" i="16"/>
  <c r="N42" i="16"/>
  <c r="M42" i="16"/>
  <c r="L42" i="16"/>
  <c r="P36" i="16"/>
  <c r="O36" i="16"/>
  <c r="P35" i="16"/>
  <c r="O35" i="16"/>
  <c r="M34" i="16"/>
  <c r="P34" i="16" s="1"/>
  <c r="M33" i="16"/>
  <c r="P33" i="16" s="1"/>
  <c r="M32" i="16"/>
  <c r="P32" i="16" s="1"/>
  <c r="P31" i="16"/>
  <c r="M31" i="16"/>
  <c r="P30" i="16"/>
  <c r="M30" i="16"/>
  <c r="P29" i="16"/>
  <c r="M29" i="16"/>
  <c r="M28" i="16"/>
  <c r="P28" i="16" s="1"/>
  <c r="N25" i="16"/>
  <c r="M25" i="16"/>
  <c r="P25" i="16" s="1"/>
  <c r="L25" i="16"/>
  <c r="P24" i="16"/>
  <c r="N24" i="16"/>
  <c r="M24" i="16"/>
  <c r="P23" i="16"/>
  <c r="N23" i="16"/>
  <c r="M23" i="16"/>
  <c r="N21" i="16"/>
  <c r="M21" i="16"/>
  <c r="L21" i="16"/>
  <c r="O21" i="16" s="1"/>
  <c r="L19" i="16"/>
  <c r="N15" i="16"/>
  <c r="M15" i="16"/>
  <c r="P15" i="16" s="1"/>
  <c r="M14" i="16"/>
  <c r="P14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N311" i="15"/>
  <c r="M311" i="15"/>
  <c r="P311" i="15" s="1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N272" i="15"/>
  <c r="M272" i="15"/>
  <c r="L272" i="15"/>
  <c r="O272" i="15" s="1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P141" i="15"/>
  <c r="O141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O119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O95" i="15"/>
  <c r="N95" i="15"/>
  <c r="M95" i="15"/>
  <c r="L95" i="15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M66" i="15" s="1"/>
  <c r="O69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M49" i="15" s="1"/>
  <c r="L47" i="15"/>
  <c r="L46" i="15"/>
  <c r="N45" i="15"/>
  <c r="M45" i="15"/>
  <c r="N42" i="15"/>
  <c r="M42" i="15"/>
  <c r="L42" i="15"/>
  <c r="O42" i="15" s="1"/>
  <c r="P36" i="15"/>
  <c r="O36" i="15"/>
  <c r="P35" i="15"/>
  <c r="O35" i="15"/>
  <c r="M34" i="15"/>
  <c r="P34" i="15" s="1"/>
  <c r="M33" i="15"/>
  <c r="M32" i="15"/>
  <c r="P32" i="15" s="1"/>
  <c r="P31" i="15"/>
  <c r="M31" i="15"/>
  <c r="M29" i="15" s="1"/>
  <c r="P29" i="15" s="1"/>
  <c r="N25" i="15"/>
  <c r="M25" i="15"/>
  <c r="P25" i="15" s="1"/>
  <c r="L25" i="15"/>
  <c r="P24" i="15"/>
  <c r="N24" i="15"/>
  <c r="M24" i="15"/>
  <c r="P23" i="15"/>
  <c r="N23" i="15"/>
  <c r="M23" i="15"/>
  <c r="N21" i="15"/>
  <c r="N19" i="15" s="1"/>
  <c r="M21" i="15"/>
  <c r="L21" i="15"/>
  <c r="O21" i="15" s="1"/>
  <c r="N15" i="15"/>
  <c r="M15" i="15"/>
  <c r="P15" i="15" s="1"/>
  <c r="M14" i="15"/>
  <c r="P14" i="15" s="1"/>
  <c r="P11" i="15"/>
  <c r="M11" i="15"/>
  <c r="P9" i="15"/>
  <c r="M9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O251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L226" i="14"/>
  <c r="L225" i="14"/>
  <c r="N224" i="14"/>
  <c r="M224" i="14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N67" i="14"/>
  <c r="M67" i="14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O54" i="14"/>
  <c r="N54" i="14"/>
  <c r="M54" i="14"/>
  <c r="L54" i="14"/>
  <c r="N49" i="14"/>
  <c r="L49" i="14"/>
  <c r="M49" i="14" s="1"/>
  <c r="L47" i="14"/>
  <c r="L46" i="14"/>
  <c r="N45" i="14"/>
  <c r="M45" i="14"/>
  <c r="P42" i="14"/>
  <c r="N42" i="14"/>
  <c r="M42" i="14"/>
  <c r="L42" i="14"/>
  <c r="P36" i="14"/>
  <c r="O36" i="14"/>
  <c r="P35" i="14"/>
  <c r="O35" i="14"/>
  <c r="M34" i="14"/>
  <c r="P34" i="14" s="1"/>
  <c r="P33" i="14"/>
  <c r="M33" i="14"/>
  <c r="M32" i="14"/>
  <c r="P32" i="14" s="1"/>
  <c r="P31" i="14"/>
  <c r="M31" i="14"/>
  <c r="M30" i="14"/>
  <c r="P30" i="14" s="1"/>
  <c r="P29" i="14"/>
  <c r="M29" i="14"/>
  <c r="M28" i="14"/>
  <c r="P28" i="14" s="1"/>
  <c r="O25" i="14"/>
  <c r="N25" i="14"/>
  <c r="M25" i="14"/>
  <c r="L25" i="14"/>
  <c r="P24" i="14"/>
  <c r="N24" i="14"/>
  <c r="M24" i="14"/>
  <c r="N23" i="14"/>
  <c r="M23" i="14"/>
  <c r="O21" i="14"/>
  <c r="N21" i="14"/>
  <c r="N19" i="14" s="1"/>
  <c r="M21" i="14"/>
  <c r="L21" i="14"/>
  <c r="O19" i="14"/>
  <c r="M19" i="14"/>
  <c r="L19" i="14"/>
  <c r="N15" i="14"/>
  <c r="L15" i="14"/>
  <c r="O15" i="14" s="1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4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P221" i="13" s="1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P119" i="13"/>
  <c r="N119" i="13"/>
  <c r="M119" i="13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N95" i="13"/>
  <c r="M95" i="13"/>
  <c r="L95" i="13"/>
  <c r="O95" i="13" s="1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L72" i="13"/>
  <c r="L71" i="13"/>
  <c r="N70" i="13"/>
  <c r="M70" i="13"/>
  <c r="M68" i="13" s="1"/>
  <c r="P68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L54" i="13"/>
  <c r="O54" i="13" s="1"/>
  <c r="N49" i="13"/>
  <c r="L49" i="13"/>
  <c r="M49" i="13" s="1"/>
  <c r="L47" i="13"/>
  <c r="L46" i="13"/>
  <c r="N45" i="13"/>
  <c r="M45" i="13"/>
  <c r="P42" i="13"/>
  <c r="O42" i="13"/>
  <c r="N42" i="13"/>
  <c r="M42" i="13"/>
  <c r="L42" i="13"/>
  <c r="P36" i="13"/>
  <c r="O36" i="13"/>
  <c r="P35" i="13"/>
  <c r="O35" i="13"/>
  <c r="M34" i="13"/>
  <c r="P34" i="13" s="1"/>
  <c r="M33" i="13"/>
  <c r="P33" i="13" s="1"/>
  <c r="M32" i="13"/>
  <c r="P32" i="13" s="1"/>
  <c r="M31" i="13"/>
  <c r="P31" i="13" s="1"/>
  <c r="P30" i="13"/>
  <c r="M30" i="13"/>
  <c r="N25" i="13"/>
  <c r="M25" i="13"/>
  <c r="P25" i="13" s="1"/>
  <c r="L25" i="13"/>
  <c r="N24" i="13"/>
  <c r="M24" i="13"/>
  <c r="P24" i="13" s="1"/>
  <c r="N23" i="13"/>
  <c r="M23" i="13"/>
  <c r="P23" i="13" s="1"/>
  <c r="P21" i="13"/>
  <c r="O21" i="13"/>
  <c r="N21" i="13"/>
  <c r="N19" i="13" s="1"/>
  <c r="M21" i="13"/>
  <c r="L21" i="13"/>
  <c r="M19" i="13"/>
  <c r="P19" i="13" s="1"/>
  <c r="P15" i="13"/>
  <c r="N15" i="13"/>
  <c r="M15" i="13"/>
  <c r="L15" i="13"/>
  <c r="P14" i="13"/>
  <c r="M14" i="13"/>
  <c r="M13" i="13"/>
  <c r="P13" i="13" s="1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L277" i="12"/>
  <c r="L276" i="12"/>
  <c r="N275" i="12"/>
  <c r="M275" i="12"/>
  <c r="M273" i="12" s="1"/>
  <c r="M271" i="12" s="1"/>
  <c r="O274" i="12"/>
  <c r="P272" i="12"/>
  <c r="O272" i="12"/>
  <c r="N272" i="12"/>
  <c r="M272" i="12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P250" i="12" s="1"/>
  <c r="O253" i="12"/>
  <c r="O251" i="12"/>
  <c r="N251" i="12"/>
  <c r="M251" i="12"/>
  <c r="P251" i="12" s="1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N141" i="12"/>
  <c r="M141" i="12"/>
  <c r="P141" i="12" s="1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P98" i="12" s="1"/>
  <c r="O97" i="12"/>
  <c r="P95" i="12"/>
  <c r="O95" i="12"/>
  <c r="N95" i="12"/>
  <c r="M95" i="12"/>
  <c r="L95" i="12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N45" i="12"/>
  <c r="M45" i="12"/>
  <c r="P42" i="12"/>
  <c r="N42" i="12"/>
  <c r="M42" i="12"/>
  <c r="L42" i="12"/>
  <c r="O42" i="12" s="1"/>
  <c r="P36" i="12"/>
  <c r="O36" i="12"/>
  <c r="P35" i="12"/>
  <c r="O35" i="12"/>
  <c r="M34" i="12"/>
  <c r="P34" i="12" s="1"/>
  <c r="P33" i="12"/>
  <c r="M33" i="12"/>
  <c r="P32" i="12"/>
  <c r="M32" i="12"/>
  <c r="P31" i="12"/>
  <c r="M31" i="12"/>
  <c r="M30" i="12"/>
  <c r="P30" i="12" s="1"/>
  <c r="M29" i="12"/>
  <c r="P25" i="12"/>
  <c r="O25" i="12"/>
  <c r="N25" i="12"/>
  <c r="M25" i="12"/>
  <c r="L25" i="12"/>
  <c r="P24" i="12"/>
  <c r="N24" i="12"/>
  <c r="M24" i="12"/>
  <c r="N23" i="12"/>
  <c r="M23" i="12"/>
  <c r="N21" i="12"/>
  <c r="N19" i="12" s="1"/>
  <c r="M21" i="12"/>
  <c r="P21" i="12" s="1"/>
  <c r="L21" i="12"/>
  <c r="N15" i="12"/>
  <c r="M15" i="12"/>
  <c r="P15" i="12" s="1"/>
  <c r="L15" i="12"/>
  <c r="O15" i="12" s="1"/>
  <c r="M14" i="12"/>
  <c r="P14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L277" i="11"/>
  <c r="L276" i="11"/>
  <c r="N275" i="11"/>
  <c r="M275" i="11"/>
  <c r="O274" i="11"/>
  <c r="P272" i="11"/>
  <c r="N272" i="11"/>
  <c r="M272" i="1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O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L146" i="11"/>
  <c r="L145" i="11"/>
  <c r="N144" i="11"/>
  <c r="M144" i="11"/>
  <c r="O143" i="11"/>
  <c r="O141" i="11"/>
  <c r="N141" i="11"/>
  <c r="M141" i="11"/>
  <c r="P141" i="11" s="1"/>
  <c r="L141" i="1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M118" i="11" s="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M102" i="11" s="1"/>
  <c r="L100" i="11"/>
  <c r="L99" i="11"/>
  <c r="N98" i="11"/>
  <c r="M98" i="11"/>
  <c r="O97" i="11"/>
  <c r="O95" i="11"/>
  <c r="N95" i="11"/>
  <c r="M95" i="11"/>
  <c r="P95" i="11" s="1"/>
  <c r="L95" i="1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O67" i="11"/>
  <c r="N67" i="11"/>
  <c r="M67" i="1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P54" i="11"/>
  <c r="O54" i="11"/>
  <c r="N54" i="11"/>
  <c r="M54" i="11"/>
  <c r="L54" i="11"/>
  <c r="N49" i="11"/>
  <c r="L49" i="11"/>
  <c r="O49" i="11" s="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P34" i="11"/>
  <c r="M34" i="11"/>
  <c r="P33" i="11"/>
  <c r="M33" i="11"/>
  <c r="P32" i="11"/>
  <c r="M32" i="11"/>
  <c r="M31" i="11"/>
  <c r="M30" i="11"/>
  <c r="P30" i="11" s="1"/>
  <c r="O25" i="11"/>
  <c r="N25" i="11"/>
  <c r="N15" i="11" s="1"/>
  <c r="M25" i="11"/>
  <c r="P25" i="11" s="1"/>
  <c r="L25" i="11"/>
  <c r="N24" i="11"/>
  <c r="M24" i="11"/>
  <c r="N23" i="11"/>
  <c r="M23" i="11"/>
  <c r="P21" i="11"/>
  <c r="N21" i="11"/>
  <c r="M21" i="11"/>
  <c r="M19" i="11" s="1"/>
  <c r="P19" i="11" s="1"/>
  <c r="L21" i="11"/>
  <c r="O21" i="11" s="1"/>
  <c r="O19" i="11"/>
  <c r="N19" i="11"/>
  <c r="L19" i="11"/>
  <c r="M15" i="11"/>
  <c r="P15" i="11" s="1"/>
  <c r="L15" i="11"/>
  <c r="O15" i="11" s="1"/>
  <c r="M11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1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M66" i="10" s="1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M53" i="10" s="1"/>
  <c r="P54" i="10"/>
  <c r="O54" i="10"/>
  <c r="N54" i="10"/>
  <c r="M54" i="10"/>
  <c r="L54" i="10"/>
  <c r="N49" i="10"/>
  <c r="L49" i="10"/>
  <c r="L47" i="10"/>
  <c r="L46" i="10"/>
  <c r="N45" i="10"/>
  <c r="M45" i="10"/>
  <c r="P42" i="10"/>
  <c r="O42" i="10"/>
  <c r="N42" i="10"/>
  <c r="M42" i="10"/>
  <c r="L42" i="10"/>
  <c r="P36" i="10"/>
  <c r="O36" i="10"/>
  <c r="P35" i="10"/>
  <c r="O35" i="10"/>
  <c r="P34" i="10"/>
  <c r="M34" i="10"/>
  <c r="P33" i="10"/>
  <c r="M33" i="10"/>
  <c r="P32" i="10"/>
  <c r="M32" i="10"/>
  <c r="M31" i="10"/>
  <c r="M30" i="10"/>
  <c r="P30" i="10" s="1"/>
  <c r="P25" i="10"/>
  <c r="O25" i="10"/>
  <c r="N25" i="10"/>
  <c r="M25" i="10"/>
  <c r="L25" i="10"/>
  <c r="N24" i="10"/>
  <c r="M24" i="10"/>
  <c r="N23" i="10"/>
  <c r="M23" i="10"/>
  <c r="P21" i="10"/>
  <c r="N21" i="10"/>
  <c r="M21" i="10"/>
  <c r="L21" i="10"/>
  <c r="P19" i="10"/>
  <c r="M19" i="10"/>
  <c r="M15" i="10"/>
  <c r="P15" i="10" s="1"/>
  <c r="L15" i="10"/>
  <c r="O15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L291" i="9"/>
  <c r="O291" i="9" s="1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O272" i="9"/>
  <c r="N272" i="9"/>
  <c r="M272" i="9"/>
  <c r="P272" i="9" s="1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L256" i="9"/>
  <c r="L255" i="9"/>
  <c r="N254" i="9"/>
  <c r="M254" i="9"/>
  <c r="O253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P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O54" i="9" s="1"/>
  <c r="N49" i="9"/>
  <c r="L49" i="9"/>
  <c r="O49" i="9" s="1"/>
  <c r="L47" i="9"/>
  <c r="L46" i="9"/>
  <c r="N45" i="9"/>
  <c r="M45" i="9"/>
  <c r="M43" i="9" s="1"/>
  <c r="O42" i="9"/>
  <c r="N42" i="9"/>
  <c r="M42" i="9"/>
  <c r="P42" i="9" s="1"/>
  <c r="L42" i="9"/>
  <c r="P36" i="9"/>
  <c r="O36" i="9"/>
  <c r="P35" i="9"/>
  <c r="O35" i="9"/>
  <c r="P34" i="9"/>
  <c r="M34" i="9"/>
  <c r="M33" i="9"/>
  <c r="M32" i="9"/>
  <c r="M31" i="9"/>
  <c r="N25" i="9"/>
  <c r="N15" i="9" s="1"/>
  <c r="M25" i="9"/>
  <c r="L25" i="9"/>
  <c r="N24" i="9"/>
  <c r="M24" i="9"/>
  <c r="P23" i="9"/>
  <c r="N23" i="9"/>
  <c r="M23" i="9"/>
  <c r="P21" i="9"/>
  <c r="O21" i="9"/>
  <c r="N21" i="9"/>
  <c r="M21" i="9"/>
  <c r="L21" i="9"/>
  <c r="N19" i="9"/>
  <c r="M11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M271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L146" i="8"/>
  <c r="L145" i="8"/>
  <c r="N144" i="8"/>
  <c r="M144" i="8"/>
  <c r="O143" i="8"/>
  <c r="N141" i="8"/>
  <c r="M141" i="8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M66" i="8" s="1"/>
  <c r="O69" i="8"/>
  <c r="P67" i="8"/>
  <c r="O67" i="8"/>
  <c r="N67" i="8"/>
  <c r="M67" i="8"/>
  <c r="L67" i="8"/>
  <c r="J65" i="8"/>
  <c r="I65" i="8"/>
  <c r="J64" i="8"/>
  <c r="I64" i="8"/>
  <c r="N61" i="8"/>
  <c r="L61" i="8"/>
  <c r="L59" i="8"/>
  <c r="L58" i="8"/>
  <c r="N57" i="8"/>
  <c r="M57" i="8"/>
  <c r="M55" i="8" s="1"/>
  <c r="P54" i="8"/>
  <c r="N54" i="8"/>
  <c r="M54" i="8"/>
  <c r="L54" i="8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M32" i="8"/>
  <c r="M31" i="8"/>
  <c r="N25" i="8"/>
  <c r="M25" i="8"/>
  <c r="L25" i="8"/>
  <c r="L19" i="8" s="1"/>
  <c r="N24" i="8"/>
  <c r="M24" i="8"/>
  <c r="P23" i="8"/>
  <c r="N23" i="8"/>
  <c r="M23" i="8"/>
  <c r="P21" i="8"/>
  <c r="O21" i="8"/>
  <c r="N21" i="8"/>
  <c r="M21" i="8"/>
  <c r="L21" i="8"/>
  <c r="M19" i="8"/>
  <c r="P19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P141" i="7" s="1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L54" i="7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P33" i="7"/>
  <c r="M33" i="7"/>
  <c r="P32" i="7"/>
  <c r="M32" i="7"/>
  <c r="M31" i="7"/>
  <c r="P31" i="7" s="1"/>
  <c r="M30" i="7"/>
  <c r="P30" i="7" s="1"/>
  <c r="M29" i="7"/>
  <c r="P25" i="7"/>
  <c r="O25" i="7"/>
  <c r="N25" i="7"/>
  <c r="M25" i="7"/>
  <c r="L25" i="7"/>
  <c r="N24" i="7"/>
  <c r="M24" i="7"/>
  <c r="N23" i="7"/>
  <c r="M23" i="7"/>
  <c r="P21" i="7"/>
  <c r="N21" i="7"/>
  <c r="M21" i="7"/>
  <c r="M19" i="7" s="1"/>
  <c r="L21" i="7"/>
  <c r="O21" i="7" s="1"/>
  <c r="N19" i="7"/>
  <c r="N15" i="7"/>
  <c r="M15" i="7"/>
  <c r="P15" i="7" s="1"/>
  <c r="L15" i="7"/>
  <c r="O15" i="7" s="1"/>
  <c r="M11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1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N330" i="6"/>
  <c r="M330" i="6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M310" i="6" s="1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O293" i="6"/>
  <c r="O291" i="6"/>
  <c r="N291" i="6"/>
  <c r="M291" i="6"/>
  <c r="P291" i="6" s="1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M271" i="6" s="1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P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L72" i="6"/>
  <c r="L71" i="6"/>
  <c r="N70" i="6"/>
  <c r="M70" i="6"/>
  <c r="M68" i="6" s="1"/>
  <c r="P68" i="6" s="1"/>
  <c r="O69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M32" i="6"/>
  <c r="P32" i="6" s="1"/>
  <c r="M31" i="6"/>
  <c r="M30" i="6"/>
  <c r="P30" i="6" s="1"/>
  <c r="O25" i="6"/>
  <c r="N25" i="6"/>
  <c r="N15" i="6" s="1"/>
  <c r="M25" i="6"/>
  <c r="P25" i="6" s="1"/>
  <c r="L25" i="6"/>
  <c r="N24" i="6"/>
  <c r="M24" i="6"/>
  <c r="N23" i="6"/>
  <c r="M23" i="6"/>
  <c r="P21" i="6"/>
  <c r="O21" i="6"/>
  <c r="N21" i="6"/>
  <c r="M21" i="6"/>
  <c r="L21" i="6"/>
  <c r="O19" i="6"/>
  <c r="M19" i="6"/>
  <c r="P19" i="6" s="1"/>
  <c r="L19" i="6"/>
  <c r="P15" i="6"/>
  <c r="M15" i="6"/>
  <c r="L15" i="6"/>
  <c r="O15" i="6" s="1"/>
  <c r="M1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P272" i="5"/>
  <c r="N272" i="5"/>
  <c r="M272" i="5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M220" i="5" s="1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O141" i="5"/>
  <c r="N141" i="5"/>
  <c r="M141" i="5"/>
  <c r="P141" i="5" s="1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P67" i="5" s="1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M55" i="5" s="1"/>
  <c r="M53" i="5" s="1"/>
  <c r="O54" i="5"/>
  <c r="N54" i="5"/>
  <c r="M54" i="5"/>
  <c r="P54" i="5" s="1"/>
  <c r="L54" i="5"/>
  <c r="N49" i="5"/>
  <c r="L49" i="5"/>
  <c r="L47" i="5"/>
  <c r="L46" i="5"/>
  <c r="N45" i="5"/>
  <c r="M45" i="5"/>
  <c r="N42" i="5"/>
  <c r="M42" i="5"/>
  <c r="P42" i="5" s="1"/>
  <c r="L42" i="5"/>
  <c r="P36" i="5"/>
  <c r="O36" i="5"/>
  <c r="P35" i="5"/>
  <c r="O35" i="5"/>
  <c r="M34" i="5"/>
  <c r="M33" i="5"/>
  <c r="P33" i="5" s="1"/>
  <c r="P32" i="5"/>
  <c r="M32" i="5"/>
  <c r="M30" i="5" s="1"/>
  <c r="P30" i="5" s="1"/>
  <c r="P31" i="5"/>
  <c r="M31" i="5"/>
  <c r="P29" i="5"/>
  <c r="M29" i="5"/>
  <c r="M28" i="5" s="1"/>
  <c r="P28" i="5" s="1"/>
  <c r="O25" i="5"/>
  <c r="N25" i="5"/>
  <c r="M25" i="5"/>
  <c r="L25" i="5"/>
  <c r="P24" i="5"/>
  <c r="N24" i="5"/>
  <c r="M24" i="5"/>
  <c r="N23" i="5"/>
  <c r="M23" i="5"/>
  <c r="O21" i="5"/>
  <c r="N21" i="5"/>
  <c r="N19" i="5" s="1"/>
  <c r="M21" i="5"/>
  <c r="P21" i="5" s="1"/>
  <c r="L21" i="5"/>
  <c r="L19" i="5" s="1"/>
  <c r="O19" i="5" s="1"/>
  <c r="M19" i="5"/>
  <c r="N15" i="5"/>
  <c r="L15" i="5"/>
  <c r="O15" i="5" s="1"/>
  <c r="J677" i="4"/>
  <c r="J676" i="4"/>
  <c r="J675" i="4"/>
  <c r="J674" i="4"/>
  <c r="J673" i="4"/>
  <c r="J672" i="4"/>
  <c r="N671" i="4"/>
  <c r="L671" i="4"/>
  <c r="I671" i="4"/>
  <c r="K671" i="4" s="1"/>
  <c r="J670" i="4"/>
  <c r="J669" i="4"/>
  <c r="N668" i="4"/>
  <c r="L668" i="4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N582" i="4"/>
  <c r="L582" i="4"/>
  <c r="O582" i="4" s="1"/>
  <c r="N581" i="4"/>
  <c r="L581" i="4"/>
  <c r="O581" i="4" s="1"/>
  <c r="N580" i="4"/>
  <c r="L580" i="4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O332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P312" i="4" s="1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P272" i="4"/>
  <c r="N272" i="4"/>
  <c r="M272" i="4"/>
  <c r="L272" i="4"/>
  <c r="O272" i="4" s="1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O251" i="4"/>
  <c r="N251" i="4"/>
  <c r="M251" i="4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L141" i="4"/>
  <c r="O141" i="4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O95" i="4"/>
  <c r="N95" i="4"/>
  <c r="M95" i="4"/>
  <c r="P95" i="4" s="1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N67" i="4"/>
  <c r="M67" i="4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O54" i="4"/>
  <c r="N54" i="4"/>
  <c r="M54" i="4"/>
  <c r="P54" i="4" s="1"/>
  <c r="L54" i="4"/>
  <c r="N49" i="4"/>
  <c r="L49" i="4"/>
  <c r="M49" i="4" s="1"/>
  <c r="L47" i="4"/>
  <c r="L46" i="4"/>
  <c r="N45" i="4"/>
  <c r="M45" i="4"/>
  <c r="P42" i="4"/>
  <c r="N42" i="4"/>
  <c r="M42" i="4"/>
  <c r="L42" i="4"/>
  <c r="P36" i="4"/>
  <c r="O36" i="4"/>
  <c r="P35" i="4"/>
  <c r="O35" i="4"/>
  <c r="M34" i="4"/>
  <c r="P34" i="4" s="1"/>
  <c r="M33" i="4"/>
  <c r="P33" i="4" s="1"/>
  <c r="M32" i="4"/>
  <c r="P32" i="4" s="1"/>
  <c r="P31" i="4"/>
  <c r="M31" i="4"/>
  <c r="P30" i="4"/>
  <c r="M30" i="4"/>
  <c r="M29" i="4"/>
  <c r="P25" i="4"/>
  <c r="N25" i="4"/>
  <c r="M25" i="4"/>
  <c r="L25" i="4"/>
  <c r="O25" i="4" s="1"/>
  <c r="P24" i="4"/>
  <c r="N24" i="4"/>
  <c r="M24" i="4"/>
  <c r="P23" i="4"/>
  <c r="N23" i="4"/>
  <c r="M23" i="4"/>
  <c r="N21" i="4"/>
  <c r="M21" i="4"/>
  <c r="P21" i="4" s="1"/>
  <c r="L21" i="4"/>
  <c r="N15" i="4"/>
  <c r="M15" i="4"/>
  <c r="P15" i="4" s="1"/>
  <c r="M14" i="4"/>
  <c r="P14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N580" i="3"/>
  <c r="L580" i="3"/>
  <c r="J580" i="3"/>
  <c r="I580" i="3"/>
  <c r="J579" i="3"/>
  <c r="I579" i="3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N559" i="3"/>
  <c r="N558" i="3"/>
  <c r="N557" i="3"/>
  <c r="N556" i="3"/>
  <c r="N555" i="3"/>
  <c r="L555" i="3"/>
  <c r="N554" i="3"/>
  <c r="L554" i="3"/>
  <c r="N553" i="3"/>
  <c r="L553" i="3"/>
  <c r="O553" i="3" s="1"/>
  <c r="N552" i="3"/>
  <c r="L552" i="3"/>
  <c r="N551" i="3"/>
  <c r="L551" i="3"/>
  <c r="O551" i="3" s="1"/>
  <c r="J551" i="3"/>
  <c r="I551" i="3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P312" i="3" s="1"/>
  <c r="O313" i="3"/>
  <c r="N311" i="3"/>
  <c r="M311" i="3"/>
  <c r="P311" i="3" s="1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N251" i="3"/>
  <c r="M251" i="3"/>
  <c r="P251" i="3" s="1"/>
  <c r="L251" i="3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O42" i="3"/>
  <c r="N42" i="3"/>
  <c r="M42" i="3"/>
  <c r="L42" i="3"/>
  <c r="P36" i="3"/>
  <c r="O36" i="3"/>
  <c r="P35" i="3"/>
  <c r="O35" i="3"/>
  <c r="P34" i="3"/>
  <c r="M34" i="3"/>
  <c r="M33" i="3"/>
  <c r="P33" i="3" s="1"/>
  <c r="M32" i="3"/>
  <c r="P32" i="3" s="1"/>
  <c r="M31" i="3"/>
  <c r="P31" i="3" s="1"/>
  <c r="N25" i="3"/>
  <c r="M25" i="3"/>
  <c r="P25" i="3" s="1"/>
  <c r="L25" i="3"/>
  <c r="N24" i="3"/>
  <c r="M24" i="3"/>
  <c r="P24" i="3" s="1"/>
  <c r="P23" i="3"/>
  <c r="N23" i="3"/>
  <c r="M23" i="3"/>
  <c r="P21" i="3"/>
  <c r="O21" i="3"/>
  <c r="N21" i="3"/>
  <c r="M21" i="3"/>
  <c r="L21" i="3"/>
  <c r="M19" i="3"/>
  <c r="P19" i="3" s="1"/>
  <c r="L19" i="3"/>
  <c r="N15" i="3"/>
  <c r="M14" i="3"/>
  <c r="P14" i="3" s="1"/>
  <c r="M11" i="3"/>
  <c r="P11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L649" i="2"/>
  <c r="J649" i="2"/>
  <c r="I649" i="2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J512" i="2"/>
  <c r="I512" i="2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J505" i="2"/>
  <c r="I505" i="2"/>
  <c r="J504" i="2"/>
  <c r="I504" i="2"/>
  <c r="K504" i="2" s="1"/>
  <c r="J503" i="2"/>
  <c r="I503" i="2"/>
  <c r="J502" i="2"/>
  <c r="I502" i="2"/>
  <c r="K502" i="2" s="1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J493" i="2"/>
  <c r="I493" i="2"/>
  <c r="J492" i="2"/>
  <c r="I492" i="2"/>
  <c r="K492" i="2" s="1"/>
  <c r="J491" i="2"/>
  <c r="I491" i="2"/>
  <c r="J490" i="2"/>
  <c r="I490" i="2"/>
  <c r="K490" i="2" s="1"/>
  <c r="J489" i="2"/>
  <c r="I489" i="2"/>
  <c r="J488" i="2"/>
  <c r="I488" i="2"/>
  <c r="K488" i="2" s="1"/>
  <c r="J487" i="2"/>
  <c r="I487" i="2"/>
  <c r="J486" i="2"/>
  <c r="I486" i="2"/>
  <c r="K486" i="2" s="1"/>
  <c r="J485" i="2"/>
  <c r="I485" i="2"/>
  <c r="J484" i="2"/>
  <c r="I484" i="2"/>
  <c r="K484" i="2" s="1"/>
  <c r="J483" i="2"/>
  <c r="I483" i="2"/>
  <c r="J482" i="2"/>
  <c r="I482" i="2"/>
  <c r="J481" i="2"/>
  <c r="I481" i="2"/>
  <c r="J480" i="2"/>
  <c r="I480" i="2"/>
  <c r="J479" i="2"/>
  <c r="I479" i="2"/>
  <c r="J478" i="2"/>
  <c r="I478" i="2"/>
  <c r="K478" i="2" s="1"/>
  <c r="J477" i="2"/>
  <c r="I477" i="2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L335" i="2"/>
  <c r="L334" i="2"/>
  <c r="N333" i="2"/>
  <c r="M333" i="2"/>
  <c r="O332" i="2"/>
  <c r="N330" i="2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M251" i="1" s="1"/>
  <c r="P251" i="1" s="1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N221" i="2"/>
  <c r="M221" i="2"/>
  <c r="P221" i="2" s="1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P54" i="2"/>
  <c r="O54" i="2"/>
  <c r="N54" i="2"/>
  <c r="M54" i="2"/>
  <c r="L54" i="2"/>
  <c r="N49" i="2"/>
  <c r="L49" i="2"/>
  <c r="O49" i="2" s="1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P32" i="2"/>
  <c r="M32" i="2"/>
  <c r="M31" i="2"/>
  <c r="P31" i="2" s="1"/>
  <c r="M30" i="2"/>
  <c r="P30" i="2" s="1"/>
  <c r="M29" i="2"/>
  <c r="P29" i="2" s="1"/>
  <c r="P25" i="2"/>
  <c r="O25" i="2"/>
  <c r="N25" i="2"/>
  <c r="M25" i="2"/>
  <c r="L25" i="2"/>
  <c r="N24" i="2"/>
  <c r="M24" i="2"/>
  <c r="P24" i="2" s="1"/>
  <c r="N23" i="2"/>
  <c r="M23" i="2"/>
  <c r="P21" i="2"/>
  <c r="N21" i="2"/>
  <c r="N19" i="2" s="1"/>
  <c r="M21" i="2"/>
  <c r="L21" i="2"/>
  <c r="O21" i="2" s="1"/>
  <c r="P19" i="2"/>
  <c r="M19" i="2"/>
  <c r="N15" i="2"/>
  <c r="M15" i="2"/>
  <c r="P15" i="2" s="1"/>
  <c r="L15" i="2"/>
  <c r="O15" i="2" s="1"/>
  <c r="P14" i="2"/>
  <c r="M14" i="2"/>
  <c r="M11" i="2"/>
  <c r="P11" i="2" s="1"/>
  <c r="M9" i="2"/>
  <c r="P9" i="2" s="1"/>
  <c r="O639" i="1"/>
  <c r="O637" i="1"/>
  <c r="I548" i="1"/>
  <c r="K548" i="1" s="1"/>
  <c r="I365" i="1"/>
  <c r="K365" i="1" s="1"/>
  <c r="L336" i="1"/>
  <c r="O332" i="1"/>
  <c r="N332" i="1"/>
  <c r="M332" i="1"/>
  <c r="M21" i="1" s="1"/>
  <c r="L332" i="1"/>
  <c r="M330" i="1"/>
  <c r="P330" i="1" s="1"/>
  <c r="L330" i="1"/>
  <c r="O330" i="1" s="1"/>
  <c r="L317" i="1"/>
  <c r="O313" i="1"/>
  <c r="N313" i="1"/>
  <c r="M313" i="1"/>
  <c r="L313" i="1"/>
  <c r="P311" i="1"/>
  <c r="N311" i="1"/>
  <c r="M311" i="1"/>
  <c r="L311" i="1"/>
  <c r="O311" i="1" s="1"/>
  <c r="J307" i="1"/>
  <c r="L297" i="1"/>
  <c r="N293" i="1"/>
  <c r="M293" i="1"/>
  <c r="L293" i="1"/>
  <c r="O293" i="1" s="1"/>
  <c r="N291" i="1"/>
  <c r="M291" i="1"/>
  <c r="P291" i="1" s="1"/>
  <c r="L278" i="1"/>
  <c r="N274" i="1"/>
  <c r="M274" i="1"/>
  <c r="L274" i="1"/>
  <c r="O274" i="1" s="1"/>
  <c r="O272" i="1"/>
  <c r="N272" i="1"/>
  <c r="L272" i="1"/>
  <c r="L257" i="1"/>
  <c r="N253" i="1"/>
  <c r="M253" i="1"/>
  <c r="L253" i="1"/>
  <c r="O253" i="1" s="1"/>
  <c r="N251" i="1"/>
  <c r="L251" i="1"/>
  <c r="O251" i="1" s="1"/>
  <c r="J240" i="1"/>
  <c r="L227" i="1"/>
  <c r="O223" i="1"/>
  <c r="N223" i="1"/>
  <c r="M223" i="1"/>
  <c r="L223" i="1"/>
  <c r="N221" i="1"/>
  <c r="M221" i="1"/>
  <c r="P221" i="1" s="1"/>
  <c r="J214" i="1"/>
  <c r="I214" i="1"/>
  <c r="J198" i="1"/>
  <c r="L147" i="1"/>
  <c r="N143" i="1"/>
  <c r="M143" i="1"/>
  <c r="L143" i="1"/>
  <c r="O143" i="1" s="1"/>
  <c r="O141" i="1"/>
  <c r="N141" i="1"/>
  <c r="M141" i="1"/>
  <c r="P141" i="1" s="1"/>
  <c r="L141" i="1"/>
  <c r="L125" i="1"/>
  <c r="N121" i="1"/>
  <c r="M121" i="1"/>
  <c r="L121" i="1"/>
  <c r="O121" i="1" s="1"/>
  <c r="N119" i="1"/>
  <c r="M119" i="1"/>
  <c r="P119" i="1" s="1"/>
  <c r="L119" i="1"/>
  <c r="O119" i="1" s="1"/>
  <c r="L101" i="1"/>
  <c r="N97" i="1"/>
  <c r="M97" i="1"/>
  <c r="L97" i="1"/>
  <c r="O97" i="1" s="1"/>
  <c r="P95" i="1"/>
  <c r="O95" i="1"/>
  <c r="M95" i="1"/>
  <c r="L95" i="1"/>
  <c r="L73" i="1"/>
  <c r="N69" i="1"/>
  <c r="N21" i="1" s="1"/>
  <c r="M69" i="1"/>
  <c r="L69" i="1"/>
  <c r="O69" i="1" s="1"/>
  <c r="P67" i="1"/>
  <c r="M67" i="1"/>
  <c r="L67" i="1"/>
  <c r="O67" i="1" s="1"/>
  <c r="L60" i="1"/>
  <c r="L56" i="1"/>
  <c r="O54" i="1"/>
  <c r="N54" i="1"/>
  <c r="M54" i="1"/>
  <c r="P54" i="1" s="1"/>
  <c r="L54" i="1"/>
  <c r="L48" i="1"/>
  <c r="L44" i="1"/>
  <c r="N42" i="1"/>
  <c r="M42" i="1"/>
  <c r="P42" i="1" s="1"/>
  <c r="L42" i="1"/>
  <c r="O42" i="1" s="1"/>
  <c r="P36" i="1"/>
  <c r="O36" i="1"/>
  <c r="P35" i="1"/>
  <c r="O35" i="1"/>
  <c r="M34" i="1"/>
  <c r="P34" i="1" s="1"/>
  <c r="M33" i="1"/>
  <c r="P33" i="1" s="1"/>
  <c r="M32" i="1"/>
  <c r="M30" i="1" s="1"/>
  <c r="P31" i="1"/>
  <c r="M31" i="1"/>
  <c r="P29" i="1"/>
  <c r="M29" i="1"/>
  <c r="N25" i="1"/>
  <c r="M25" i="1"/>
  <c r="P25" i="1" s="1"/>
  <c r="L25" i="1"/>
  <c r="O25" i="1" s="1"/>
  <c r="P24" i="1"/>
  <c r="N24" i="1"/>
  <c r="M24" i="1"/>
  <c r="P23" i="1"/>
  <c r="N23" i="1"/>
  <c r="M23" i="1"/>
  <c r="N15" i="1"/>
  <c r="M14" i="1"/>
  <c r="P14" i="1" s="1"/>
  <c r="M13" i="1"/>
  <c r="P13" i="1" s="1"/>
  <c r="N252" i="10" l="1"/>
  <c r="N250" i="10" s="1"/>
  <c r="O459" i="15"/>
  <c r="K401" i="18"/>
  <c r="O406" i="18"/>
  <c r="K432" i="18"/>
  <c r="O435" i="18"/>
  <c r="L294" i="20"/>
  <c r="O294" i="20" s="1"/>
  <c r="K370" i="20"/>
  <c r="K376" i="20"/>
  <c r="K380" i="20"/>
  <c r="O385" i="20"/>
  <c r="O564" i="15"/>
  <c r="K499" i="16"/>
  <c r="O566" i="16"/>
  <c r="K189" i="2"/>
  <c r="K235" i="12"/>
  <c r="L144" i="13"/>
  <c r="O144" i="13" s="1"/>
  <c r="K417" i="20"/>
  <c r="O435" i="20"/>
  <c r="K481" i="20"/>
  <c r="K449" i="20"/>
  <c r="O455" i="20"/>
  <c r="K466" i="20"/>
  <c r="K402" i="3"/>
  <c r="K416" i="3"/>
  <c r="K422" i="3"/>
  <c r="K428" i="3"/>
  <c r="K435" i="3"/>
  <c r="K465" i="3"/>
  <c r="K547" i="3"/>
  <c r="N68" i="14"/>
  <c r="N66" i="14" s="1"/>
  <c r="J671" i="8"/>
  <c r="O537" i="18"/>
  <c r="O551" i="18"/>
  <c r="K377" i="3"/>
  <c r="O380" i="3"/>
  <c r="K418" i="3"/>
  <c r="K424" i="3"/>
  <c r="K430" i="3"/>
  <c r="K450" i="3"/>
  <c r="K464" i="3"/>
  <c r="K473" i="3"/>
  <c r="K428" i="6"/>
  <c r="O457" i="6"/>
  <c r="K421" i="7"/>
  <c r="K482" i="7"/>
  <c r="K429" i="8"/>
  <c r="O435" i="8"/>
  <c r="J194" i="1"/>
  <c r="J500" i="1"/>
  <c r="N142" i="15"/>
  <c r="N140" i="15" s="1"/>
  <c r="K428" i="21"/>
  <c r="O457" i="21"/>
  <c r="O553" i="21"/>
  <c r="K377" i="9"/>
  <c r="O564" i="3"/>
  <c r="N120" i="4"/>
  <c r="N118" i="4" s="1"/>
  <c r="K635" i="2"/>
  <c r="N388" i="1"/>
  <c r="I522" i="1"/>
  <c r="L533" i="1"/>
  <c r="N33" i="3"/>
  <c r="N13" i="3" s="1"/>
  <c r="J454" i="1"/>
  <c r="J320" i="1"/>
  <c r="I340" i="1"/>
  <c r="J373" i="1"/>
  <c r="J432" i="1"/>
  <c r="J481" i="1"/>
  <c r="J487" i="1"/>
  <c r="K368" i="2"/>
  <c r="K398" i="2"/>
  <c r="O439" i="2"/>
  <c r="O568" i="5"/>
  <c r="K573" i="5"/>
  <c r="K464" i="10"/>
  <c r="K473" i="10"/>
  <c r="K482" i="10"/>
  <c r="K497" i="10"/>
  <c r="O584" i="10"/>
  <c r="K589" i="10"/>
  <c r="K595" i="10"/>
  <c r="K617" i="10"/>
  <c r="K630" i="10"/>
  <c r="L57" i="11"/>
  <c r="O57" i="11" s="1"/>
  <c r="L122" i="11"/>
  <c r="L120" i="11" s="1"/>
  <c r="L118" i="11" s="1"/>
  <c r="K370" i="11"/>
  <c r="N55" i="12"/>
  <c r="N53" i="12" s="1"/>
  <c r="J196" i="1"/>
  <c r="I304" i="1"/>
  <c r="I309" i="1"/>
  <c r="J650" i="1"/>
  <c r="J652" i="1"/>
  <c r="J659" i="1"/>
  <c r="J669" i="1"/>
  <c r="J673" i="1"/>
  <c r="J284" i="1"/>
  <c r="J344" i="1"/>
  <c r="N353" i="1"/>
  <c r="N409" i="1"/>
  <c r="N440" i="1"/>
  <c r="J447" i="1"/>
  <c r="I516" i="1"/>
  <c r="I519" i="1"/>
  <c r="I525" i="1"/>
  <c r="I528" i="1"/>
  <c r="I531" i="1"/>
  <c r="N540" i="1"/>
  <c r="I547" i="1"/>
  <c r="I573" i="1"/>
  <c r="J175" i="1"/>
  <c r="J521" i="1"/>
  <c r="J527" i="1"/>
  <c r="J533" i="1"/>
  <c r="N144" i="1"/>
  <c r="J181" i="1"/>
  <c r="I200" i="1"/>
  <c r="J217" i="1"/>
  <c r="I306" i="1"/>
  <c r="J82" i="1"/>
  <c r="L276" i="1"/>
  <c r="J283" i="1"/>
  <c r="L225" i="1"/>
  <c r="I426" i="1"/>
  <c r="J89" i="1"/>
  <c r="J211" i="1"/>
  <c r="J513" i="1"/>
  <c r="N541" i="1"/>
  <c r="O349" i="13"/>
  <c r="I213" i="1"/>
  <c r="I289" i="1"/>
  <c r="N222" i="10"/>
  <c r="N220" i="10" s="1"/>
  <c r="N273" i="11"/>
  <c r="N271" i="11" s="1"/>
  <c r="N292" i="13"/>
  <c r="N290" i="13" s="1"/>
  <c r="P144" i="15"/>
  <c r="I132" i="1"/>
  <c r="L553" i="1"/>
  <c r="K376" i="3"/>
  <c r="K397" i="3"/>
  <c r="K401" i="3"/>
  <c r="K420" i="3"/>
  <c r="K426" i="3"/>
  <c r="K432" i="3"/>
  <c r="K466" i="3"/>
  <c r="O385" i="7"/>
  <c r="O406" i="7"/>
  <c r="K417" i="7"/>
  <c r="K285" i="9"/>
  <c r="L294" i="9"/>
  <c r="L292" i="9" s="1"/>
  <c r="K429" i="9"/>
  <c r="K426" i="13"/>
  <c r="O455" i="13"/>
  <c r="L122" i="16"/>
  <c r="L120" i="16" s="1"/>
  <c r="O120" i="16" s="1"/>
  <c r="L258" i="1"/>
  <c r="O258" i="1" s="1"/>
  <c r="I468" i="1"/>
  <c r="K468" i="1" s="1"/>
  <c r="I504" i="1"/>
  <c r="K504" i="1" s="1"/>
  <c r="L536" i="1"/>
  <c r="O536" i="1" s="1"/>
  <c r="K375" i="17"/>
  <c r="I577" i="1"/>
  <c r="K577" i="1" s="1"/>
  <c r="I486" i="1"/>
  <c r="K486" i="1" s="1"/>
  <c r="L582" i="1"/>
  <c r="M333" i="1"/>
  <c r="J365" i="1"/>
  <c r="J471" i="1"/>
  <c r="J474" i="1"/>
  <c r="J480" i="1"/>
  <c r="J486" i="1"/>
  <c r="J495" i="1"/>
  <c r="J501" i="1"/>
  <c r="J510" i="1"/>
  <c r="J516" i="1"/>
  <c r="J519" i="1"/>
  <c r="J522" i="1"/>
  <c r="J525" i="1"/>
  <c r="J528" i="1"/>
  <c r="J531" i="1"/>
  <c r="J547" i="1"/>
  <c r="J561" i="1"/>
  <c r="N565" i="1"/>
  <c r="J300" i="1"/>
  <c r="J482" i="1"/>
  <c r="J485" i="1"/>
  <c r="J494" i="1"/>
  <c r="J509" i="1"/>
  <c r="J518" i="1"/>
  <c r="J524" i="1"/>
  <c r="J530" i="1"/>
  <c r="N539" i="1"/>
  <c r="J546" i="1"/>
  <c r="J550" i="1"/>
  <c r="N555" i="1"/>
  <c r="J560" i="1"/>
  <c r="L46" i="1"/>
  <c r="M98" i="1"/>
  <c r="I109" i="1"/>
  <c r="N585" i="1"/>
  <c r="J321" i="1"/>
  <c r="K65" i="11"/>
  <c r="I113" i="1"/>
  <c r="I85" i="1"/>
  <c r="K110" i="17"/>
  <c r="K219" i="17"/>
  <c r="N68" i="20"/>
  <c r="N66" i="20" s="1"/>
  <c r="I204" i="1"/>
  <c r="I620" i="1"/>
  <c r="I64" i="1"/>
  <c r="L74" i="1"/>
  <c r="I80" i="1"/>
  <c r="I83" i="1"/>
  <c r="J237" i="1"/>
  <c r="J269" i="1"/>
  <c r="N587" i="1"/>
  <c r="I616" i="1"/>
  <c r="J76" i="1"/>
  <c r="J156" i="1"/>
  <c r="J161" i="1"/>
  <c r="J170" i="1"/>
  <c r="J184" i="1"/>
  <c r="J188" i="1"/>
  <c r="J197" i="1"/>
  <c r="J215" i="1"/>
  <c r="J229" i="1"/>
  <c r="J282" i="1"/>
  <c r="J287" i="1"/>
  <c r="N298" i="1"/>
  <c r="J309" i="1"/>
  <c r="J325" i="1"/>
  <c r="N349" i="1"/>
  <c r="I398" i="1"/>
  <c r="L404" i="1"/>
  <c r="I464" i="1"/>
  <c r="I630" i="1"/>
  <c r="I633" i="1"/>
  <c r="N49" i="1"/>
  <c r="N57" i="1"/>
  <c r="J64" i="1"/>
  <c r="J260" i="1"/>
  <c r="I265" i="1"/>
  <c r="J268" i="1"/>
  <c r="L277" i="1"/>
  <c r="N671" i="1"/>
  <c r="I108" i="1"/>
  <c r="J202" i="1"/>
  <c r="M96" i="10"/>
  <c r="M94" i="10" s="1"/>
  <c r="O599" i="11"/>
  <c r="M26" i="18"/>
  <c r="M16" i="18" s="1"/>
  <c r="L382" i="1"/>
  <c r="O382" i="1" s="1"/>
  <c r="I451" i="1"/>
  <c r="I492" i="1"/>
  <c r="K492" i="1" s="1"/>
  <c r="N70" i="1"/>
  <c r="J77" i="1"/>
  <c r="J92" i="1"/>
  <c r="L100" i="1"/>
  <c r="J133" i="1"/>
  <c r="L145" i="1"/>
  <c r="J164" i="1"/>
  <c r="J186" i="1"/>
  <c r="J484" i="1"/>
  <c r="J490" i="1"/>
  <c r="J493" i="1"/>
  <c r="J496" i="1"/>
  <c r="J499" i="1"/>
  <c r="J502" i="1"/>
  <c r="J505" i="1"/>
  <c r="J508" i="1"/>
  <c r="J517" i="1"/>
  <c r="J520" i="1"/>
  <c r="J523" i="1"/>
  <c r="J526" i="1"/>
  <c r="J529" i="1"/>
  <c r="J532" i="1"/>
  <c r="N534" i="1"/>
  <c r="J544" i="1"/>
  <c r="J548" i="1"/>
  <c r="N651" i="1"/>
  <c r="J658" i="1"/>
  <c r="J662" i="1"/>
  <c r="N668" i="1"/>
  <c r="O535" i="5"/>
  <c r="O564" i="5"/>
  <c r="K593" i="8"/>
  <c r="K435" i="10"/>
  <c r="K482" i="11"/>
  <c r="M70" i="1"/>
  <c r="I86" i="1"/>
  <c r="I590" i="1"/>
  <c r="K590" i="1" s="1"/>
  <c r="N45" i="1"/>
  <c r="L58" i="1"/>
  <c r="N74" i="1"/>
  <c r="J80" i="1"/>
  <c r="J83" i="1"/>
  <c r="J86" i="1"/>
  <c r="J90" i="1"/>
  <c r="N98" i="1"/>
  <c r="J105" i="1"/>
  <c r="J109" i="1"/>
  <c r="J117" i="1"/>
  <c r="N126" i="1"/>
  <c r="J132" i="1"/>
  <c r="I158" i="1"/>
  <c r="J163" i="1"/>
  <c r="J172" i="1"/>
  <c r="J176" i="1"/>
  <c r="N557" i="1"/>
  <c r="N568" i="1"/>
  <c r="J573" i="1"/>
  <c r="J580" i="1"/>
  <c r="N586" i="1"/>
  <c r="J590" i="1"/>
  <c r="N598" i="1"/>
  <c r="N601" i="1"/>
  <c r="J608" i="1"/>
  <c r="J615" i="1"/>
  <c r="J621" i="1"/>
  <c r="J628" i="1"/>
  <c r="J634" i="1"/>
  <c r="K110" i="6"/>
  <c r="K219" i="6"/>
  <c r="M43" i="8"/>
  <c r="M41" i="8" s="1"/>
  <c r="K628" i="17"/>
  <c r="K631" i="17"/>
  <c r="L61" i="1"/>
  <c r="O61" i="1" s="1"/>
  <c r="M57" i="1"/>
  <c r="M55" i="1" s="1"/>
  <c r="M53" i="1" s="1"/>
  <c r="I81" i="1"/>
  <c r="I87" i="1"/>
  <c r="L126" i="1"/>
  <c r="O126" i="1" s="1"/>
  <c r="I244" i="1"/>
  <c r="K244" i="1" s="1"/>
  <c r="I418" i="1"/>
  <c r="I500" i="1"/>
  <c r="K500" i="1" s="1"/>
  <c r="N558" i="1"/>
  <c r="P98" i="3"/>
  <c r="P45" i="4"/>
  <c r="L57" i="4"/>
  <c r="O57" i="4" s="1"/>
  <c r="K219" i="4"/>
  <c r="J78" i="1"/>
  <c r="J281" i="1"/>
  <c r="J286" i="1"/>
  <c r="N318" i="1"/>
  <c r="J324" i="1"/>
  <c r="L335" i="1"/>
  <c r="J340" i="1"/>
  <c r="J343" i="1"/>
  <c r="J346" i="1"/>
  <c r="N352" i="1"/>
  <c r="I374" i="1"/>
  <c r="N386" i="1"/>
  <c r="J393" i="1"/>
  <c r="I424" i="1"/>
  <c r="I430" i="1"/>
  <c r="J453" i="1"/>
  <c r="J666" i="1"/>
  <c r="N649" i="1"/>
  <c r="L144" i="16"/>
  <c r="L142" i="16" s="1"/>
  <c r="K597" i="18"/>
  <c r="L148" i="1"/>
  <c r="O148" i="1" s="1"/>
  <c r="I84" i="1"/>
  <c r="I93" i="1"/>
  <c r="I138" i="1"/>
  <c r="M294" i="1"/>
  <c r="L438" i="1"/>
  <c r="O438" i="1" s="1"/>
  <c r="J264" i="1"/>
  <c r="J267" i="1"/>
  <c r="N275" i="1"/>
  <c r="N552" i="1"/>
  <c r="N120" i="3"/>
  <c r="N118" i="3" s="1"/>
  <c r="K138" i="6"/>
  <c r="N252" i="6"/>
  <c r="N250" i="6" s="1"/>
  <c r="N142" i="9"/>
  <c r="N140" i="9" s="1"/>
  <c r="K200" i="9"/>
  <c r="O380" i="18"/>
  <c r="K398" i="18"/>
  <c r="O401" i="18"/>
  <c r="O404" i="18"/>
  <c r="K418" i="18"/>
  <c r="O439" i="18"/>
  <c r="O459" i="18"/>
  <c r="K426" i="21"/>
  <c r="O580" i="21"/>
  <c r="K635" i="21"/>
  <c r="O649" i="21"/>
  <c r="L49" i="1"/>
  <c r="I267" i="1"/>
  <c r="L279" i="1"/>
  <c r="O279" i="1" s="1"/>
  <c r="J231" i="1"/>
  <c r="J242" i="1"/>
  <c r="N650" i="1"/>
  <c r="O102" i="3"/>
  <c r="P45" i="8"/>
  <c r="N312" i="8"/>
  <c r="N310" i="8" s="1"/>
  <c r="K370" i="9"/>
  <c r="K64" i="10"/>
  <c r="K497" i="17"/>
  <c r="N142" i="18"/>
  <c r="N140" i="18" s="1"/>
  <c r="N222" i="20"/>
  <c r="N220" i="20" s="1"/>
  <c r="N312" i="20"/>
  <c r="N310" i="20" s="1"/>
  <c r="K111" i="3"/>
  <c r="L122" i="3"/>
  <c r="O122" i="3" s="1"/>
  <c r="P224" i="3"/>
  <c r="K229" i="3"/>
  <c r="N292" i="6"/>
  <c r="N290" i="6" s="1"/>
  <c r="K270" i="9"/>
  <c r="O566" i="18"/>
  <c r="K93" i="21"/>
  <c r="K93" i="6"/>
  <c r="K634" i="17"/>
  <c r="N43" i="15"/>
  <c r="N41" i="15" s="1"/>
  <c r="L45" i="10"/>
  <c r="O45" i="10" s="1"/>
  <c r="K345" i="14"/>
  <c r="K92" i="15"/>
  <c r="O649" i="20"/>
  <c r="O661" i="20"/>
  <c r="L294" i="3"/>
  <c r="O294" i="3" s="1"/>
  <c r="N252" i="17"/>
  <c r="N250" i="17" s="1"/>
  <c r="N96" i="18"/>
  <c r="N94" i="18" s="1"/>
  <c r="K618" i="5"/>
  <c r="K597" i="7"/>
  <c r="K547" i="9"/>
  <c r="L70" i="7"/>
  <c r="L68" i="7" s="1"/>
  <c r="P98" i="15"/>
  <c r="K109" i="15"/>
  <c r="K466" i="15"/>
  <c r="O580" i="15"/>
  <c r="K93" i="17"/>
  <c r="K368" i="21"/>
  <c r="K343" i="4"/>
  <c r="P275" i="12"/>
  <c r="L275" i="18"/>
  <c r="O275" i="18" s="1"/>
  <c r="K635" i="18"/>
  <c r="L32" i="8"/>
  <c r="L30" i="8" s="1"/>
  <c r="N252" i="13"/>
  <c r="N250" i="13" s="1"/>
  <c r="K173" i="18"/>
  <c r="L333" i="18"/>
  <c r="O333" i="18" s="1"/>
  <c r="N120" i="20"/>
  <c r="N118" i="20" s="1"/>
  <c r="K164" i="20"/>
  <c r="K186" i="20"/>
  <c r="K285" i="20"/>
  <c r="K249" i="2"/>
  <c r="K189" i="4"/>
  <c r="P70" i="5"/>
  <c r="K81" i="5"/>
  <c r="K84" i="5"/>
  <c r="L98" i="5"/>
  <c r="O98" i="5" s="1"/>
  <c r="J671" i="7"/>
  <c r="K497" i="8"/>
  <c r="K591" i="8"/>
  <c r="K573" i="12"/>
  <c r="K580" i="12"/>
  <c r="K176" i="14"/>
  <c r="K185" i="14"/>
  <c r="K189" i="14"/>
  <c r="K481" i="17"/>
  <c r="O537" i="17"/>
  <c r="N222" i="21"/>
  <c r="N220" i="21" s="1"/>
  <c r="P144" i="2"/>
  <c r="K149" i="2"/>
  <c r="K341" i="8"/>
  <c r="O347" i="8"/>
  <c r="O564" i="8"/>
  <c r="K589" i="8"/>
  <c r="K432" i="10"/>
  <c r="K629" i="10"/>
  <c r="K381" i="11"/>
  <c r="K419" i="11"/>
  <c r="K422" i="11"/>
  <c r="K425" i="11"/>
  <c r="K474" i="11"/>
  <c r="K498" i="11"/>
  <c r="K200" i="13"/>
  <c r="O597" i="13"/>
  <c r="K474" i="15"/>
  <c r="K235" i="17"/>
  <c r="J651" i="17"/>
  <c r="K651" i="17" s="1"/>
  <c r="K396" i="18"/>
  <c r="K416" i="18"/>
  <c r="O553" i="18"/>
  <c r="J154" i="1"/>
  <c r="J159" i="1"/>
  <c r="J173" i="1"/>
  <c r="J182" i="1"/>
  <c r="J195" i="1"/>
  <c r="J200" i="1"/>
  <c r="J204" i="1"/>
  <c r="J213" i="1"/>
  <c r="J218" i="1"/>
  <c r="N228" i="1"/>
  <c r="J234" i="1"/>
  <c r="J238" i="1"/>
  <c r="J244" i="1"/>
  <c r="J263" i="1"/>
  <c r="L72" i="1"/>
  <c r="J79" i="1"/>
  <c r="J85" i="1"/>
  <c r="J88" i="1"/>
  <c r="J93" i="1"/>
  <c r="J111" i="1"/>
  <c r="K176" i="5"/>
  <c r="N43" i="3"/>
  <c r="P43" i="3" s="1"/>
  <c r="L59" i="1"/>
  <c r="J65" i="1"/>
  <c r="J81" i="1"/>
  <c r="J114" i="1"/>
  <c r="J671" i="3"/>
  <c r="K199" i="4"/>
  <c r="L275" i="4"/>
  <c r="L273" i="4" s="1"/>
  <c r="L271" i="4" s="1"/>
  <c r="O347" i="4"/>
  <c r="J512" i="1"/>
  <c r="I527" i="1"/>
  <c r="N566" i="1"/>
  <c r="N570" i="1"/>
  <c r="J578" i="1"/>
  <c r="N583" i="1"/>
  <c r="J594" i="1"/>
  <c r="N599" i="1"/>
  <c r="J651" i="4"/>
  <c r="N142" i="5"/>
  <c r="N140" i="5" s="1"/>
  <c r="L275" i="5"/>
  <c r="O275" i="5" s="1"/>
  <c r="L70" i="2"/>
  <c r="O70" i="2" s="1"/>
  <c r="O650" i="3"/>
  <c r="K200" i="4"/>
  <c r="J504" i="1"/>
  <c r="L122" i="5"/>
  <c r="O122" i="5" s="1"/>
  <c r="I270" i="1"/>
  <c r="J303" i="1"/>
  <c r="N333" i="1"/>
  <c r="J339" i="1"/>
  <c r="J342" i="1"/>
  <c r="J349" i="1"/>
  <c r="N351" i="1"/>
  <c r="N354" i="1"/>
  <c r="I370" i="1"/>
  <c r="L406" i="1"/>
  <c r="J412" i="1"/>
  <c r="L435" i="1"/>
  <c r="N442" i="1"/>
  <c r="I449" i="1"/>
  <c r="L455" i="1"/>
  <c r="N462" i="1"/>
  <c r="L599" i="1"/>
  <c r="I619" i="1"/>
  <c r="I622" i="1"/>
  <c r="I625" i="1"/>
  <c r="I629" i="1"/>
  <c r="I632" i="1"/>
  <c r="I635" i="1"/>
  <c r="J106" i="1"/>
  <c r="J155" i="1"/>
  <c r="J160" i="1"/>
  <c r="J169" i="1"/>
  <c r="J174" i="1"/>
  <c r="J183" i="1"/>
  <c r="J187" i="1"/>
  <c r="J209" i="1"/>
  <c r="M224" i="1"/>
  <c r="I229" i="1"/>
  <c r="I235" i="1"/>
  <c r="J245" i="1"/>
  <c r="J266" i="1"/>
  <c r="J270" i="1"/>
  <c r="L334" i="1"/>
  <c r="J367" i="1"/>
  <c r="J376" i="1"/>
  <c r="N382" i="1"/>
  <c r="J392" i="1"/>
  <c r="N406" i="1"/>
  <c r="J426" i="1"/>
  <c r="N438" i="1"/>
  <c r="N443" i="1"/>
  <c r="J449" i="1"/>
  <c r="N455" i="1"/>
  <c r="N463" i="1"/>
  <c r="J466" i="1"/>
  <c r="J210" i="1"/>
  <c r="L255" i="1"/>
  <c r="N314" i="1"/>
  <c r="I350" i="1"/>
  <c r="N387" i="1"/>
  <c r="J394" i="1"/>
  <c r="N401" i="1"/>
  <c r="N404" i="1"/>
  <c r="N408" i="1"/>
  <c r="J415" i="1"/>
  <c r="J418" i="1"/>
  <c r="J424" i="1"/>
  <c r="J430" i="1"/>
  <c r="N436" i="1"/>
  <c r="J450" i="1"/>
  <c r="J464" i="1"/>
  <c r="J467" i="1"/>
  <c r="J470" i="1"/>
  <c r="J473" i="1"/>
  <c r="J476" i="1"/>
  <c r="K632" i="5"/>
  <c r="J203" i="1"/>
  <c r="J212" i="1"/>
  <c r="L226" i="1"/>
  <c r="J243" i="1"/>
  <c r="J249" i="1"/>
  <c r="N254" i="1"/>
  <c r="J261" i="1"/>
  <c r="J265" i="1"/>
  <c r="J323" i="1"/>
  <c r="J328" i="1"/>
  <c r="I349" i="1"/>
  <c r="L354" i="1"/>
  <c r="J360" i="1"/>
  <c r="J375" i="1"/>
  <c r="J379" i="1"/>
  <c r="N384" i="1"/>
  <c r="J402" i="1"/>
  <c r="N405" i="1"/>
  <c r="N410" i="1"/>
  <c r="J416" i="1"/>
  <c r="J422" i="1"/>
  <c r="J428" i="1"/>
  <c r="K435" i="9"/>
  <c r="N457" i="1"/>
  <c r="J465" i="1"/>
  <c r="J468" i="1"/>
  <c r="K630" i="9"/>
  <c r="K229" i="10"/>
  <c r="J235" i="1"/>
  <c r="L295" i="1"/>
  <c r="J302" i="1"/>
  <c r="K616" i="13"/>
  <c r="K593" i="14"/>
  <c r="K612" i="14"/>
  <c r="K631" i="14"/>
  <c r="J651" i="14"/>
  <c r="J671" i="14"/>
  <c r="J107" i="1"/>
  <c r="J113" i="1"/>
  <c r="J130" i="1"/>
  <c r="J134" i="1"/>
  <c r="J233" i="1"/>
  <c r="J341" i="1"/>
  <c r="N347" i="1"/>
  <c r="J350" i="1"/>
  <c r="N358" i="1"/>
  <c r="I372" i="1"/>
  <c r="J378" i="1"/>
  <c r="I396" i="1"/>
  <c r="J399" i="1"/>
  <c r="I402" i="1"/>
  <c r="I416" i="1"/>
  <c r="I422" i="1"/>
  <c r="I428" i="1"/>
  <c r="I435" i="1"/>
  <c r="L437" i="1"/>
  <c r="O584" i="17"/>
  <c r="N292" i="18"/>
  <c r="N290" i="18" s="1"/>
  <c r="N312" i="18"/>
  <c r="N310" i="18" s="1"/>
  <c r="O555" i="18"/>
  <c r="K368" i="19"/>
  <c r="K377" i="19"/>
  <c r="O380" i="19"/>
  <c r="L333" i="20"/>
  <c r="O333" i="20" s="1"/>
  <c r="K633" i="21"/>
  <c r="K431" i="5"/>
  <c r="J651" i="5"/>
  <c r="K589" i="12"/>
  <c r="K431" i="13"/>
  <c r="K455" i="13"/>
  <c r="N644" i="14"/>
  <c r="N640" i="14" s="1"/>
  <c r="N638" i="14" s="1"/>
  <c r="N636" i="14" s="1"/>
  <c r="N68" i="16"/>
  <c r="N66" i="16" s="1"/>
  <c r="K264" i="17"/>
  <c r="K267" i="17"/>
  <c r="L45" i="21"/>
  <c r="L43" i="21" s="1"/>
  <c r="L41" i="21" s="1"/>
  <c r="O648" i="5"/>
  <c r="O535" i="6"/>
  <c r="O555" i="6"/>
  <c r="L224" i="7"/>
  <c r="L222" i="7" s="1"/>
  <c r="L220" i="7" s="1"/>
  <c r="L294" i="7"/>
  <c r="O294" i="7" s="1"/>
  <c r="L275" i="8"/>
  <c r="O275" i="8" s="1"/>
  <c r="K619" i="11"/>
  <c r="L314" i="12"/>
  <c r="O314" i="12" s="1"/>
  <c r="N252" i="14"/>
  <c r="K372" i="14"/>
  <c r="K375" i="14"/>
  <c r="K229" i="16"/>
  <c r="K376" i="16"/>
  <c r="K580" i="21"/>
  <c r="N331" i="7"/>
  <c r="N329" i="7" s="1"/>
  <c r="J671" i="15"/>
  <c r="O601" i="16"/>
  <c r="L122" i="19"/>
  <c r="L120" i="19" s="1"/>
  <c r="O120" i="19" s="1"/>
  <c r="P275" i="19"/>
  <c r="K345" i="19"/>
  <c r="K349" i="19"/>
  <c r="K328" i="20"/>
  <c r="O568" i="6"/>
  <c r="K593" i="6"/>
  <c r="M292" i="7"/>
  <c r="P292" i="7" s="1"/>
  <c r="K632" i="8"/>
  <c r="K85" i="10"/>
  <c r="N68" i="12"/>
  <c r="N66" i="12" s="1"/>
  <c r="K629" i="13"/>
  <c r="N331" i="21"/>
  <c r="N329" i="21" s="1"/>
  <c r="P224" i="6"/>
  <c r="N55" i="7"/>
  <c r="N53" i="7" s="1"/>
  <c r="K328" i="8"/>
  <c r="K499" i="15"/>
  <c r="N222" i="17"/>
  <c r="N220" i="17" s="1"/>
  <c r="K377" i="17"/>
  <c r="K398" i="17"/>
  <c r="O401" i="17"/>
  <c r="O404" i="17"/>
  <c r="O439" i="17"/>
  <c r="K450" i="17"/>
  <c r="M312" i="19"/>
  <c r="P312" i="19" s="1"/>
  <c r="K449" i="19"/>
  <c r="O455" i="19"/>
  <c r="K466" i="19"/>
  <c r="K631" i="19"/>
  <c r="N55" i="21"/>
  <c r="N53" i="21" s="1"/>
  <c r="L32" i="21"/>
  <c r="L30" i="21" s="1"/>
  <c r="I238" i="1"/>
  <c r="K238" i="1" s="1"/>
  <c r="L298" i="1"/>
  <c r="O298" i="1" s="1"/>
  <c r="I346" i="1"/>
  <c r="K346" i="1" s="1"/>
  <c r="I476" i="1"/>
  <c r="K476" i="1" s="1"/>
  <c r="I514" i="1"/>
  <c r="K514" i="1" s="1"/>
  <c r="I578" i="1"/>
  <c r="K578" i="1" s="1"/>
  <c r="N551" i="1"/>
  <c r="N34" i="3"/>
  <c r="N14" i="3" s="1"/>
  <c r="K481" i="4"/>
  <c r="O564" i="4"/>
  <c r="O597" i="4"/>
  <c r="K112" i="5"/>
  <c r="K164" i="5"/>
  <c r="K185" i="5"/>
  <c r="K229" i="5"/>
  <c r="K235" i="5"/>
  <c r="M120" i="9"/>
  <c r="M118" i="9" s="1"/>
  <c r="P118" i="9" s="1"/>
  <c r="P122" i="9"/>
  <c r="M45" i="1"/>
  <c r="L102" i="1"/>
  <c r="I324" i="1"/>
  <c r="I369" i="1"/>
  <c r="K369" i="1" s="1"/>
  <c r="I376" i="1"/>
  <c r="L384" i="1"/>
  <c r="O384" i="1" s="1"/>
  <c r="I401" i="1"/>
  <c r="L439" i="1"/>
  <c r="L551" i="1"/>
  <c r="I594" i="1"/>
  <c r="K594" i="1" s="1"/>
  <c r="N68" i="2"/>
  <c r="N66" i="2" s="1"/>
  <c r="J87" i="1"/>
  <c r="J129" i="1"/>
  <c r="K200" i="2"/>
  <c r="O457" i="2"/>
  <c r="L70" i="3"/>
  <c r="O70" i="3" s="1"/>
  <c r="K82" i="3"/>
  <c r="N222" i="3"/>
  <c r="N220" i="3" s="1"/>
  <c r="K340" i="3"/>
  <c r="N55" i="5"/>
  <c r="P55" i="5" s="1"/>
  <c r="O384" i="14"/>
  <c r="L33" i="14"/>
  <c r="O33" i="14" s="1"/>
  <c r="I65" i="1"/>
  <c r="I110" i="1"/>
  <c r="I149" i="1"/>
  <c r="I189" i="1"/>
  <c r="I219" i="1"/>
  <c r="L228" i="1"/>
  <c r="O228" i="1" s="1"/>
  <c r="I249" i="1"/>
  <c r="M275" i="1"/>
  <c r="L318" i="1"/>
  <c r="O318" i="1" s="1"/>
  <c r="L436" i="1"/>
  <c r="O436" i="1" s="1"/>
  <c r="I466" i="1"/>
  <c r="I510" i="1"/>
  <c r="K510" i="1" s="1"/>
  <c r="J451" i="1"/>
  <c r="N461" i="1"/>
  <c r="K619" i="2"/>
  <c r="N96" i="3"/>
  <c r="N94" i="3" s="1"/>
  <c r="M120" i="3"/>
  <c r="P120" i="3" s="1"/>
  <c r="K199" i="3"/>
  <c r="L275" i="3"/>
  <c r="L273" i="3" s="1"/>
  <c r="L271" i="3" s="1"/>
  <c r="N644" i="4"/>
  <c r="N640" i="4" s="1"/>
  <c r="N638" i="4" s="1"/>
  <c r="N636" i="4" s="1"/>
  <c r="I111" i="1"/>
  <c r="N122" i="1"/>
  <c r="M144" i="1"/>
  <c r="L337" i="1"/>
  <c r="L352" i="1"/>
  <c r="I472" i="1"/>
  <c r="K472" i="1" s="1"/>
  <c r="J366" i="1"/>
  <c r="J391" i="1"/>
  <c r="K426" i="2"/>
  <c r="O435" i="2"/>
  <c r="O455" i="2"/>
  <c r="O533" i="2"/>
  <c r="K80" i="3"/>
  <c r="K113" i="3"/>
  <c r="N292" i="3"/>
  <c r="N290" i="3" s="1"/>
  <c r="N331" i="3"/>
  <c r="N329" i="3" s="1"/>
  <c r="O568" i="3"/>
  <c r="K573" i="3"/>
  <c r="O457" i="4"/>
  <c r="K474" i="4"/>
  <c r="K397" i="5"/>
  <c r="L123" i="1"/>
  <c r="I201" i="1"/>
  <c r="N224" i="1"/>
  <c r="L296" i="1"/>
  <c r="I344" i="1"/>
  <c r="K344" i="1" s="1"/>
  <c r="I373" i="1"/>
  <c r="K373" i="1" s="1"/>
  <c r="I397" i="1"/>
  <c r="I663" i="1"/>
  <c r="P45" i="2"/>
  <c r="L333" i="2"/>
  <c r="L331" i="2" s="1"/>
  <c r="L329" i="2" s="1"/>
  <c r="K340" i="2"/>
  <c r="O352" i="2"/>
  <c r="N355" i="1"/>
  <c r="J362" i="1"/>
  <c r="J397" i="1"/>
  <c r="J401" i="1"/>
  <c r="N403" i="1"/>
  <c r="K164" i="3"/>
  <c r="K173" i="3"/>
  <c r="K200" i="3"/>
  <c r="N55" i="4"/>
  <c r="N53" i="4" s="1"/>
  <c r="O566" i="4"/>
  <c r="O599" i="4"/>
  <c r="L70" i="5"/>
  <c r="O70" i="5" s="1"/>
  <c r="K111" i="5"/>
  <c r="N252" i="5"/>
  <c r="N250" i="5" s="1"/>
  <c r="K421" i="5"/>
  <c r="N222" i="6"/>
  <c r="N220" i="6" s="1"/>
  <c r="O383" i="8"/>
  <c r="K398" i="8"/>
  <c r="N120" i="9"/>
  <c r="N118" i="9" s="1"/>
  <c r="K345" i="9"/>
  <c r="P144" i="10"/>
  <c r="M312" i="10"/>
  <c r="P312" i="10" s="1"/>
  <c r="K219" i="12"/>
  <c r="L294" i="13"/>
  <c r="O294" i="13" s="1"/>
  <c r="L144" i="14"/>
  <c r="O144" i="14" s="1"/>
  <c r="O439" i="15"/>
  <c r="L254" i="16"/>
  <c r="L252" i="16" s="1"/>
  <c r="O252" i="16" s="1"/>
  <c r="K345" i="16"/>
  <c r="K547" i="16"/>
  <c r="O568" i="16"/>
  <c r="K81" i="18"/>
  <c r="L254" i="19"/>
  <c r="O254" i="19" s="1"/>
  <c r="N331" i="20"/>
  <c r="N329" i="20" s="1"/>
  <c r="L254" i="21"/>
  <c r="O254" i="21" s="1"/>
  <c r="K270" i="21"/>
  <c r="L314" i="21"/>
  <c r="O314" i="21" s="1"/>
  <c r="K432" i="21"/>
  <c r="K449" i="21"/>
  <c r="O455" i="21"/>
  <c r="K499" i="21"/>
  <c r="O533" i="21"/>
  <c r="K560" i="21"/>
  <c r="N312" i="6"/>
  <c r="N310" i="6" s="1"/>
  <c r="P310" i="6" s="1"/>
  <c r="L333" i="7"/>
  <c r="O333" i="7" s="1"/>
  <c r="K65" i="9"/>
  <c r="N68" i="9"/>
  <c r="N66" i="9" s="1"/>
  <c r="K573" i="9"/>
  <c r="N68" i="10"/>
  <c r="P68" i="10" s="1"/>
  <c r="K80" i="10"/>
  <c r="K108" i="10"/>
  <c r="K593" i="12"/>
  <c r="K345" i="13"/>
  <c r="L45" i="14"/>
  <c r="O45" i="14" s="1"/>
  <c r="O455" i="14"/>
  <c r="O564" i="14"/>
  <c r="O566" i="17"/>
  <c r="N96" i="19"/>
  <c r="N94" i="19" s="1"/>
  <c r="O439" i="19"/>
  <c r="O459" i="19"/>
  <c r="K473" i="19"/>
  <c r="P98" i="20"/>
  <c r="N292" i="20"/>
  <c r="N290" i="20" s="1"/>
  <c r="P333" i="20"/>
  <c r="K345" i="20"/>
  <c r="K349" i="20"/>
  <c r="O354" i="20"/>
  <c r="J671" i="5"/>
  <c r="K615" i="7"/>
  <c r="P314" i="8"/>
  <c r="K427" i="8"/>
  <c r="K201" i="10"/>
  <c r="K376" i="10"/>
  <c r="O385" i="10"/>
  <c r="K397" i="10"/>
  <c r="L294" i="11"/>
  <c r="L292" i="11" s="1"/>
  <c r="K341" i="11"/>
  <c r="O347" i="11"/>
  <c r="K430" i="11"/>
  <c r="K64" i="12"/>
  <c r="O383" i="12"/>
  <c r="K420" i="12"/>
  <c r="K426" i="12"/>
  <c r="K432" i="12"/>
  <c r="L294" i="15"/>
  <c r="O294" i="15" s="1"/>
  <c r="K381" i="15"/>
  <c r="K612" i="15"/>
  <c r="O580" i="16"/>
  <c r="K108" i="17"/>
  <c r="K473" i="17"/>
  <c r="K595" i="7"/>
  <c r="N222" i="9"/>
  <c r="N220" i="9" s="1"/>
  <c r="N273" i="9"/>
  <c r="N271" i="9" s="1"/>
  <c r="K341" i="9"/>
  <c r="K350" i="9"/>
  <c r="K427" i="9"/>
  <c r="N120" i="10"/>
  <c r="N118" i="10" s="1"/>
  <c r="N222" i="13"/>
  <c r="N220" i="13" s="1"/>
  <c r="N55" i="14"/>
  <c r="N53" i="14" s="1"/>
  <c r="N120" i="15"/>
  <c r="N118" i="15" s="1"/>
  <c r="N312" i="15"/>
  <c r="N310" i="15" s="1"/>
  <c r="K589" i="17"/>
  <c r="P70" i="19"/>
  <c r="K81" i="19"/>
  <c r="K455" i="19"/>
  <c r="O457" i="19"/>
  <c r="O599" i="19"/>
  <c r="K149" i="21"/>
  <c r="K424" i="5"/>
  <c r="K427" i="5"/>
  <c r="O439" i="5"/>
  <c r="K450" i="5"/>
  <c r="K473" i="5"/>
  <c r="K109" i="6"/>
  <c r="K112" i="6"/>
  <c r="O665" i="6"/>
  <c r="O102" i="7"/>
  <c r="N222" i="7"/>
  <c r="P222" i="7" s="1"/>
  <c r="K425" i="7"/>
  <c r="K428" i="7"/>
  <c r="K435" i="7"/>
  <c r="K465" i="7"/>
  <c r="O582" i="7"/>
  <c r="K593" i="7"/>
  <c r="L122" i="8"/>
  <c r="O122" i="8" s="1"/>
  <c r="P254" i="8"/>
  <c r="K265" i="8"/>
  <c r="O437" i="8"/>
  <c r="K80" i="9"/>
  <c r="K83" i="9"/>
  <c r="O599" i="9"/>
  <c r="L70" i="10"/>
  <c r="L68" i="10" s="1"/>
  <c r="L66" i="10" s="1"/>
  <c r="L98" i="10"/>
  <c r="L96" i="10" s="1"/>
  <c r="L94" i="10" s="1"/>
  <c r="O597" i="11"/>
  <c r="K630" i="11"/>
  <c r="N96" i="12"/>
  <c r="N94" i="12" s="1"/>
  <c r="K595" i="12"/>
  <c r="O597" i="12"/>
  <c r="K630" i="12"/>
  <c r="P224" i="13"/>
  <c r="K229" i="13"/>
  <c r="K235" i="13"/>
  <c r="K368" i="13"/>
  <c r="K377" i="13"/>
  <c r="O380" i="13"/>
  <c r="K398" i="13"/>
  <c r="K430" i="13"/>
  <c r="O439" i="13"/>
  <c r="K450" i="13"/>
  <c r="K573" i="13"/>
  <c r="K580" i="13"/>
  <c r="O582" i="13"/>
  <c r="L98" i="14"/>
  <c r="O98" i="14" s="1"/>
  <c r="O566" i="14"/>
  <c r="O580" i="14"/>
  <c r="K635" i="14"/>
  <c r="K229" i="15"/>
  <c r="L275" i="15"/>
  <c r="O275" i="15" s="1"/>
  <c r="L98" i="16"/>
  <c r="L96" i="16" s="1"/>
  <c r="O96" i="16" s="1"/>
  <c r="K200" i="16"/>
  <c r="K341" i="16"/>
  <c r="K450" i="16"/>
  <c r="O533" i="16"/>
  <c r="O564" i="16"/>
  <c r="L45" i="17"/>
  <c r="L43" i="17" s="1"/>
  <c r="K112" i="17"/>
  <c r="K117" i="17"/>
  <c r="K133" i="17"/>
  <c r="P294" i="17"/>
  <c r="K630" i="17"/>
  <c r="K80" i="18"/>
  <c r="L294" i="18"/>
  <c r="O294" i="18" s="1"/>
  <c r="L314" i="18"/>
  <c r="O314" i="18" s="1"/>
  <c r="L333" i="19"/>
  <c r="L331" i="19" s="1"/>
  <c r="L329" i="19" s="1"/>
  <c r="O349" i="19"/>
  <c r="N34" i="19"/>
  <c r="N14" i="19" s="1"/>
  <c r="O435" i="19"/>
  <c r="K421" i="20"/>
  <c r="O439" i="20"/>
  <c r="K450" i="20"/>
  <c r="O459" i="20"/>
  <c r="K464" i="20"/>
  <c r="K417" i="21"/>
  <c r="K423" i="21"/>
  <c r="K597" i="21"/>
  <c r="N142" i="2"/>
  <c r="N140" i="2" s="1"/>
  <c r="K173" i="2"/>
  <c r="O584" i="2"/>
  <c r="O354" i="3"/>
  <c r="K117" i="4"/>
  <c r="L224" i="4"/>
  <c r="L222" i="4" s="1"/>
  <c r="K381" i="4"/>
  <c r="K422" i="4"/>
  <c r="K428" i="4"/>
  <c r="K497" i="4"/>
  <c r="J507" i="1"/>
  <c r="L57" i="5"/>
  <c r="O57" i="5" s="1"/>
  <c r="L144" i="5"/>
  <c r="O144" i="5" s="1"/>
  <c r="K200" i="5"/>
  <c r="N312" i="5"/>
  <c r="N310" i="5" s="1"/>
  <c r="K377" i="5"/>
  <c r="O566" i="5"/>
  <c r="K189" i="6"/>
  <c r="K199" i="6"/>
  <c r="K235" i="6"/>
  <c r="L254" i="6"/>
  <c r="L252" i="6" s="1"/>
  <c r="K324" i="6"/>
  <c r="L333" i="6"/>
  <c r="L331" i="6" s="1"/>
  <c r="K340" i="6"/>
  <c r="K343" i="6"/>
  <c r="O349" i="6"/>
  <c r="K397" i="6"/>
  <c r="K573" i="6"/>
  <c r="K665" i="6"/>
  <c r="P57" i="7"/>
  <c r="K164" i="7"/>
  <c r="K416" i="7"/>
  <c r="K229" i="8"/>
  <c r="K235" i="8"/>
  <c r="L254" i="8"/>
  <c r="L252" i="8" s="1"/>
  <c r="L250" i="8" s="1"/>
  <c r="K270" i="8"/>
  <c r="L333" i="8"/>
  <c r="O333" i="8" s="1"/>
  <c r="K340" i="8"/>
  <c r="K370" i="8"/>
  <c r="L275" i="9"/>
  <c r="L273" i="9" s="1"/>
  <c r="L314" i="9"/>
  <c r="O314" i="9" s="1"/>
  <c r="K419" i="9"/>
  <c r="K425" i="9"/>
  <c r="O437" i="9"/>
  <c r="K110" i="10"/>
  <c r="K113" i="10"/>
  <c r="K634" i="10"/>
  <c r="K176" i="11"/>
  <c r="K270" i="11"/>
  <c r="K285" i="11"/>
  <c r="K340" i="11"/>
  <c r="K343" i="11"/>
  <c r="O349" i="11"/>
  <c r="N55" i="2"/>
  <c r="N53" i="2" s="1"/>
  <c r="K289" i="2"/>
  <c r="P294" i="2"/>
  <c r="K498" i="2"/>
  <c r="K564" i="3"/>
  <c r="M68" i="4"/>
  <c r="P68" i="4" s="1"/>
  <c r="K285" i="4"/>
  <c r="N43" i="5"/>
  <c r="N41" i="5" s="1"/>
  <c r="K264" i="5"/>
  <c r="K597" i="5"/>
  <c r="K634" i="5"/>
  <c r="K649" i="5"/>
  <c r="K368" i="6"/>
  <c r="N564" i="1"/>
  <c r="N567" i="1"/>
  <c r="J592" i="1"/>
  <c r="K82" i="8"/>
  <c r="K88" i="8"/>
  <c r="K149" i="8"/>
  <c r="K158" i="8"/>
  <c r="N222" i="8"/>
  <c r="P222" i="8" s="1"/>
  <c r="K285" i="8"/>
  <c r="O406" i="8"/>
  <c r="J483" i="1"/>
  <c r="J489" i="1"/>
  <c r="K84" i="9"/>
  <c r="K158" i="9"/>
  <c r="N292" i="9"/>
  <c r="N290" i="9" s="1"/>
  <c r="K455" i="9"/>
  <c r="L57" i="10"/>
  <c r="O57" i="10" s="1"/>
  <c r="K65" i="10"/>
  <c r="K427" i="10"/>
  <c r="O455" i="10"/>
  <c r="K93" i="11"/>
  <c r="K377" i="11"/>
  <c r="O380" i="11"/>
  <c r="O401" i="11"/>
  <c r="K464" i="11"/>
  <c r="K266" i="2"/>
  <c r="K402" i="2"/>
  <c r="K416" i="2"/>
  <c r="K422" i="2"/>
  <c r="O459" i="2"/>
  <c r="J648" i="1"/>
  <c r="L651" i="1"/>
  <c r="L665" i="1"/>
  <c r="J676" i="1"/>
  <c r="J345" i="1"/>
  <c r="J503" i="1"/>
  <c r="J515" i="1"/>
  <c r="I518" i="1"/>
  <c r="L45" i="5"/>
  <c r="O45" i="5" s="1"/>
  <c r="P333" i="5"/>
  <c r="J506" i="1"/>
  <c r="N588" i="1"/>
  <c r="L459" i="1"/>
  <c r="I482" i="1"/>
  <c r="K533" i="9"/>
  <c r="K345" i="10"/>
  <c r="K349" i="10"/>
  <c r="K350" i="11"/>
  <c r="L584" i="1"/>
  <c r="O649" i="4"/>
  <c r="M312" i="5"/>
  <c r="M310" i="5" s="1"/>
  <c r="P310" i="5" s="1"/>
  <c r="O435" i="5"/>
  <c r="L98" i="6"/>
  <c r="O98" i="6" s="1"/>
  <c r="L144" i="6"/>
  <c r="L142" i="6" s="1"/>
  <c r="O383" i="6"/>
  <c r="K113" i="7"/>
  <c r="K219" i="7"/>
  <c r="N553" i="1"/>
  <c r="K631" i="7"/>
  <c r="K186" i="8"/>
  <c r="O404" i="8"/>
  <c r="K424" i="8"/>
  <c r="K547" i="8"/>
  <c r="K613" i="8"/>
  <c r="K633" i="8"/>
  <c r="K650" i="8"/>
  <c r="L70" i="9"/>
  <c r="O70" i="9" s="1"/>
  <c r="K82" i="9"/>
  <c r="L333" i="9"/>
  <c r="O333" i="9" s="1"/>
  <c r="K417" i="9"/>
  <c r="O455" i="9"/>
  <c r="K635" i="9"/>
  <c r="K200" i="10"/>
  <c r="P98" i="11"/>
  <c r="N312" i="3"/>
  <c r="N310" i="3" s="1"/>
  <c r="N222" i="4"/>
  <c r="N220" i="4" s="1"/>
  <c r="N273" i="4"/>
  <c r="K398" i="4"/>
  <c r="K430" i="4"/>
  <c r="K450" i="4"/>
  <c r="J511" i="1"/>
  <c r="J677" i="1"/>
  <c r="N597" i="1"/>
  <c r="J656" i="1"/>
  <c r="J665" i="1"/>
  <c r="J668" i="1"/>
  <c r="N55" i="6"/>
  <c r="N53" i="6" s="1"/>
  <c r="N273" i="6"/>
  <c r="N271" i="6" s="1"/>
  <c r="P271" i="6" s="1"/>
  <c r="N292" i="7"/>
  <c r="N290" i="7" s="1"/>
  <c r="J472" i="1"/>
  <c r="J475" i="1"/>
  <c r="J478" i="1"/>
  <c r="N273" i="8"/>
  <c r="P273" i="8" s="1"/>
  <c r="O383" i="9"/>
  <c r="K398" i="9"/>
  <c r="O401" i="9"/>
  <c r="K430" i="9"/>
  <c r="O439" i="9"/>
  <c r="K498" i="9"/>
  <c r="K420" i="2"/>
  <c r="J301" i="1"/>
  <c r="J306" i="1"/>
  <c r="L315" i="1"/>
  <c r="I328" i="1"/>
  <c r="N102" i="1"/>
  <c r="L124" i="1"/>
  <c r="J131" i="1"/>
  <c r="J135" i="1"/>
  <c r="N148" i="1"/>
  <c r="J157" i="1"/>
  <c r="J162" i="1"/>
  <c r="N357" i="1"/>
  <c r="J364" i="1"/>
  <c r="J371" i="1"/>
  <c r="J377" i="1"/>
  <c r="N380" i="1"/>
  <c r="N605" i="1"/>
  <c r="J611" i="1"/>
  <c r="J617" i="1"/>
  <c r="J623" i="1"/>
  <c r="J630" i="1"/>
  <c r="J128" i="1"/>
  <c r="J158" i="1"/>
  <c r="I173" i="1"/>
  <c r="J189" i="1"/>
  <c r="J199" i="1"/>
  <c r="N356" i="1"/>
  <c r="J363" i="1"/>
  <c r="I368" i="1"/>
  <c r="P254" i="6"/>
  <c r="J607" i="1"/>
  <c r="I612" i="1"/>
  <c r="I615" i="1"/>
  <c r="I618" i="1"/>
  <c r="I621" i="1"/>
  <c r="I624" i="1"/>
  <c r="I628" i="1"/>
  <c r="I631" i="1"/>
  <c r="I634" i="1"/>
  <c r="J653" i="1"/>
  <c r="J651" i="6"/>
  <c r="J667" i="1"/>
  <c r="J670" i="1"/>
  <c r="L47" i="1"/>
  <c r="J84" i="1"/>
  <c r="J514" i="1"/>
  <c r="K591" i="7"/>
  <c r="N43" i="10"/>
  <c r="N41" i="10" s="1"/>
  <c r="N142" i="10"/>
  <c r="N140" i="10" s="1"/>
  <c r="P140" i="10" s="1"/>
  <c r="N312" i="10"/>
  <c r="N310" i="10" s="1"/>
  <c r="L98" i="11"/>
  <c r="O98" i="11" s="1"/>
  <c r="N331" i="11"/>
  <c r="N329" i="11" s="1"/>
  <c r="J497" i="1"/>
  <c r="O568" i="11"/>
  <c r="K573" i="11"/>
  <c r="K580" i="11"/>
  <c r="N252" i="12"/>
  <c r="N250" i="12" s="1"/>
  <c r="J649" i="1"/>
  <c r="O337" i="14"/>
  <c r="K368" i="14"/>
  <c r="K377" i="14"/>
  <c r="K398" i="14"/>
  <c r="O401" i="14"/>
  <c r="K418" i="14"/>
  <c r="K424" i="14"/>
  <c r="K430" i="14"/>
  <c r="K466" i="14"/>
  <c r="O584" i="14"/>
  <c r="O597" i="14"/>
  <c r="P49" i="15"/>
  <c r="P70" i="15"/>
  <c r="K249" i="15"/>
  <c r="K265" i="15"/>
  <c r="K368" i="15"/>
  <c r="K398" i="15"/>
  <c r="O404" i="15"/>
  <c r="K418" i="15"/>
  <c r="K421" i="15"/>
  <c r="K424" i="15"/>
  <c r="K427" i="15"/>
  <c r="K430" i="15"/>
  <c r="O455" i="15"/>
  <c r="O537" i="15"/>
  <c r="K580" i="15"/>
  <c r="O582" i="15"/>
  <c r="K620" i="15"/>
  <c r="K176" i="16"/>
  <c r="K185" i="16"/>
  <c r="O349" i="16"/>
  <c r="K380" i="16"/>
  <c r="K417" i="16"/>
  <c r="K429" i="16"/>
  <c r="O435" i="16"/>
  <c r="K473" i="16"/>
  <c r="J488" i="1"/>
  <c r="K613" i="16"/>
  <c r="K616" i="16"/>
  <c r="K619" i="16"/>
  <c r="P254" i="17"/>
  <c r="K265" i="17"/>
  <c r="M96" i="18"/>
  <c r="P96" i="18" s="1"/>
  <c r="K200" i="18"/>
  <c r="K425" i="18"/>
  <c r="L224" i="19"/>
  <c r="O224" i="19" s="1"/>
  <c r="J498" i="1"/>
  <c r="O568" i="19"/>
  <c r="K573" i="19"/>
  <c r="O597" i="19"/>
  <c r="K618" i="19"/>
  <c r="K270" i="20"/>
  <c r="K429" i="20"/>
  <c r="N31" i="20"/>
  <c r="N29" i="20" s="1"/>
  <c r="M26" i="21"/>
  <c r="M16" i="21" s="1"/>
  <c r="N142" i="21"/>
  <c r="N140" i="21" s="1"/>
  <c r="K341" i="21"/>
  <c r="K481" i="21"/>
  <c r="O555" i="21"/>
  <c r="O601" i="21"/>
  <c r="K631" i="21"/>
  <c r="K634" i="21"/>
  <c r="N33" i="13"/>
  <c r="N13" i="13" s="1"/>
  <c r="O533" i="14"/>
  <c r="N644" i="18"/>
  <c r="N640" i="18" s="1"/>
  <c r="N638" i="18" s="1"/>
  <c r="N636" i="18" s="1"/>
  <c r="K85" i="19"/>
  <c r="J671" i="20"/>
  <c r="K671" i="20" s="1"/>
  <c r="O601" i="11"/>
  <c r="K158" i="12"/>
  <c r="K189" i="12"/>
  <c r="K285" i="12"/>
  <c r="K219" i="14"/>
  <c r="K396" i="14"/>
  <c r="K416" i="14"/>
  <c r="O437" i="14"/>
  <c r="K497" i="14"/>
  <c r="O568" i="14"/>
  <c r="N96" i="15"/>
  <c r="N94" i="15" s="1"/>
  <c r="K266" i="15"/>
  <c r="L314" i="15"/>
  <c r="O314" i="15" s="1"/>
  <c r="K164" i="16"/>
  <c r="O347" i="16"/>
  <c r="K449" i="16"/>
  <c r="O537" i="16"/>
  <c r="K611" i="16"/>
  <c r="K614" i="16"/>
  <c r="K630" i="16"/>
  <c r="N292" i="17"/>
  <c r="N290" i="17" s="1"/>
  <c r="K465" i="17"/>
  <c r="O568" i="17"/>
  <c r="K573" i="17"/>
  <c r="O651" i="17"/>
  <c r="K219" i="18"/>
  <c r="K474" i="18"/>
  <c r="O535" i="18"/>
  <c r="O537" i="19"/>
  <c r="O601" i="19"/>
  <c r="K149" i="20"/>
  <c r="K176" i="20"/>
  <c r="L224" i="20"/>
  <c r="O224" i="20" s="1"/>
  <c r="K249" i="20"/>
  <c r="N252" i="20"/>
  <c r="N250" i="20" s="1"/>
  <c r="K427" i="20"/>
  <c r="K213" i="21"/>
  <c r="L224" i="21"/>
  <c r="O224" i="21" s="1"/>
  <c r="K267" i="21"/>
  <c r="N312" i="21"/>
  <c r="N310" i="21" s="1"/>
  <c r="O404" i="21"/>
  <c r="O459" i="21"/>
  <c r="L333" i="12"/>
  <c r="O333" i="12" s="1"/>
  <c r="O582" i="12"/>
  <c r="L122" i="13"/>
  <c r="L120" i="13" s="1"/>
  <c r="O120" i="13" s="1"/>
  <c r="K285" i="13"/>
  <c r="L314" i="13"/>
  <c r="O314" i="13" s="1"/>
  <c r="K341" i="13"/>
  <c r="K350" i="13"/>
  <c r="P275" i="14"/>
  <c r="K465" i="14"/>
  <c r="L34" i="16"/>
  <c r="N142" i="17"/>
  <c r="N140" i="17" s="1"/>
  <c r="P140" i="17" s="1"/>
  <c r="K419" i="20"/>
  <c r="K425" i="20"/>
  <c r="K431" i="20"/>
  <c r="K435" i="20"/>
  <c r="K455" i="20"/>
  <c r="O457" i="20"/>
  <c r="K465" i="20"/>
  <c r="K474" i="20"/>
  <c r="K265" i="21"/>
  <c r="K422" i="21"/>
  <c r="K425" i="21"/>
  <c r="O582" i="21"/>
  <c r="K200" i="12"/>
  <c r="K614" i="13"/>
  <c r="K64" i="14"/>
  <c r="L45" i="15"/>
  <c r="O45" i="15" s="1"/>
  <c r="O385" i="15"/>
  <c r="K397" i="15"/>
  <c r="K417" i="15"/>
  <c r="K420" i="15"/>
  <c r="K423" i="15"/>
  <c r="K426" i="15"/>
  <c r="K429" i="15"/>
  <c r="K432" i="15"/>
  <c r="O435" i="15"/>
  <c r="K635" i="15"/>
  <c r="L294" i="16"/>
  <c r="O294" i="16" s="1"/>
  <c r="O354" i="16"/>
  <c r="K375" i="16"/>
  <c r="O349" i="17"/>
  <c r="K380" i="17"/>
  <c r="O385" i="17"/>
  <c r="K417" i="17"/>
  <c r="K423" i="17"/>
  <c r="K429" i="17"/>
  <c r="K421" i="18"/>
  <c r="K430" i="18"/>
  <c r="N120" i="12"/>
  <c r="N118" i="12" s="1"/>
  <c r="O380" i="12"/>
  <c r="K591" i="12"/>
  <c r="K381" i="13"/>
  <c r="O401" i="13"/>
  <c r="K424" i="13"/>
  <c r="J671" i="13"/>
  <c r="K158" i="14"/>
  <c r="K199" i="14"/>
  <c r="K401" i="14"/>
  <c r="O406" i="14"/>
  <c r="K417" i="14"/>
  <c r="K423" i="14"/>
  <c r="K429" i="14"/>
  <c r="O435" i="14"/>
  <c r="K380" i="15"/>
  <c r="O584" i="15"/>
  <c r="O597" i="15"/>
  <c r="K622" i="15"/>
  <c r="M292" i="16"/>
  <c r="M290" i="16" s="1"/>
  <c r="P290" i="16" s="1"/>
  <c r="K416" i="16"/>
  <c r="K219" i="19"/>
  <c r="N222" i="19"/>
  <c r="P222" i="19" s="1"/>
  <c r="M273" i="19"/>
  <c r="M271" i="19" s="1"/>
  <c r="N292" i="19"/>
  <c r="N290" i="19" s="1"/>
  <c r="O535" i="19"/>
  <c r="M312" i="20"/>
  <c r="P312" i="20" s="1"/>
  <c r="N96" i="21"/>
  <c r="N94" i="21" s="1"/>
  <c r="O437" i="21"/>
  <c r="K593" i="21"/>
  <c r="K626" i="21"/>
  <c r="K596" i="4"/>
  <c r="I596" i="1"/>
  <c r="K596" i="1" s="1"/>
  <c r="O552" i="5"/>
  <c r="L31" i="5"/>
  <c r="O31" i="5" s="1"/>
  <c r="P312" i="8"/>
  <c r="M310" i="8"/>
  <c r="P310" i="8" s="1"/>
  <c r="P70" i="12"/>
  <c r="M68" i="12"/>
  <c r="K502" i="14"/>
  <c r="I502" i="1"/>
  <c r="K502" i="1" s="1"/>
  <c r="O353" i="4"/>
  <c r="L33" i="4"/>
  <c r="O33" i="4" s="1"/>
  <c r="N294" i="1"/>
  <c r="N337" i="1"/>
  <c r="I371" i="1"/>
  <c r="K371" i="1" s="1"/>
  <c r="J420" i="1"/>
  <c r="J646" i="1"/>
  <c r="K649" i="2"/>
  <c r="I649" i="1"/>
  <c r="K668" i="2"/>
  <c r="I668" i="1"/>
  <c r="K668" i="1" s="1"/>
  <c r="K371" i="3"/>
  <c r="I367" i="3"/>
  <c r="K367" i="3" s="1"/>
  <c r="I521" i="1"/>
  <c r="I524" i="1"/>
  <c r="I530" i="1"/>
  <c r="K533" i="3"/>
  <c r="I533" i="1"/>
  <c r="L535" i="1"/>
  <c r="N538" i="1"/>
  <c r="J545" i="1"/>
  <c r="J549" i="1"/>
  <c r="O555" i="3"/>
  <c r="L555" i="1"/>
  <c r="K560" i="3"/>
  <c r="I560" i="1"/>
  <c r="K560" i="1" s="1"/>
  <c r="O567" i="3"/>
  <c r="L567" i="1"/>
  <c r="O567" i="1" s="1"/>
  <c r="K576" i="3"/>
  <c r="I576" i="1"/>
  <c r="K576" i="1" s="1"/>
  <c r="K579" i="3"/>
  <c r="I579" i="1"/>
  <c r="K579" i="1" s="1"/>
  <c r="O581" i="3"/>
  <c r="L581" i="1"/>
  <c r="O581" i="1" s="1"/>
  <c r="K592" i="3"/>
  <c r="I592" i="1"/>
  <c r="K592" i="1" s="1"/>
  <c r="O597" i="3"/>
  <c r="L597" i="1"/>
  <c r="N604" i="1"/>
  <c r="I611" i="1"/>
  <c r="I614" i="1"/>
  <c r="I617" i="1"/>
  <c r="K626" i="3"/>
  <c r="K621" i="3"/>
  <c r="O438" i="5"/>
  <c r="L33" i="5"/>
  <c r="O33" i="5" s="1"/>
  <c r="I92" i="1"/>
  <c r="I117" i="1"/>
  <c r="I164" i="1"/>
  <c r="N648" i="1"/>
  <c r="J660" i="1"/>
  <c r="K474" i="2"/>
  <c r="I474" i="1"/>
  <c r="K480" i="2"/>
  <c r="I480" i="1"/>
  <c r="K480" i="1" s="1"/>
  <c r="K494" i="2"/>
  <c r="I494" i="1"/>
  <c r="K494" i="1" s="1"/>
  <c r="K506" i="2"/>
  <c r="I506" i="1"/>
  <c r="K506" i="1" s="1"/>
  <c r="K512" i="2"/>
  <c r="I512" i="1"/>
  <c r="K512" i="1" s="1"/>
  <c r="N554" i="1"/>
  <c r="N559" i="1"/>
  <c r="K564" i="2"/>
  <c r="J564" i="1"/>
  <c r="N252" i="3"/>
  <c r="N250" i="3" s="1"/>
  <c r="O668" i="4"/>
  <c r="L668" i="1"/>
  <c r="O668" i="1" s="1"/>
  <c r="I623" i="1"/>
  <c r="I626" i="1"/>
  <c r="O661" i="5"/>
  <c r="L661" i="1"/>
  <c r="J492" i="1"/>
  <c r="O598" i="4"/>
  <c r="L31" i="4"/>
  <c r="O31" i="4" s="1"/>
  <c r="O601" i="6"/>
  <c r="L601" i="1"/>
  <c r="O650" i="6"/>
  <c r="L650" i="1"/>
  <c r="O534" i="7"/>
  <c r="L534" i="1"/>
  <c r="O534" i="1" s="1"/>
  <c r="L71" i="1"/>
  <c r="I112" i="1"/>
  <c r="I199" i="1"/>
  <c r="I470" i="1"/>
  <c r="K470" i="1" s="1"/>
  <c r="M22" i="5"/>
  <c r="M12" i="5" s="1"/>
  <c r="O537" i="7"/>
  <c r="L537" i="1"/>
  <c r="I82" i="1"/>
  <c r="I176" i="1"/>
  <c r="J185" i="1"/>
  <c r="I490" i="1"/>
  <c r="K490" i="1" s="1"/>
  <c r="N96" i="4"/>
  <c r="N94" i="4" s="1"/>
  <c r="J477" i="1"/>
  <c r="K575" i="4"/>
  <c r="I575" i="1"/>
  <c r="K575" i="1" s="1"/>
  <c r="O580" i="4"/>
  <c r="L580" i="1"/>
  <c r="O583" i="4"/>
  <c r="L583" i="1"/>
  <c r="O583" i="1" s="1"/>
  <c r="N43" i="2"/>
  <c r="N41" i="2" s="1"/>
  <c r="N407" i="1"/>
  <c r="J414" i="1"/>
  <c r="K449" i="2"/>
  <c r="O580" i="2"/>
  <c r="K629" i="2"/>
  <c r="P70" i="3"/>
  <c r="K92" i="3"/>
  <c r="P333" i="3"/>
  <c r="K350" i="3"/>
  <c r="K132" i="4"/>
  <c r="P144" i="4"/>
  <c r="K149" i="4"/>
  <c r="K158" i="4"/>
  <c r="K340" i="4"/>
  <c r="O404" i="4"/>
  <c r="K424" i="4"/>
  <c r="O459" i="4"/>
  <c r="K499" i="4"/>
  <c r="K328" i="5"/>
  <c r="O383" i="5"/>
  <c r="K398" i="5"/>
  <c r="O401" i="5"/>
  <c r="K426" i="5"/>
  <c r="K266" i="6"/>
  <c r="N31" i="6"/>
  <c r="N11" i="6" s="1"/>
  <c r="N9" i="6" s="1"/>
  <c r="K628" i="6"/>
  <c r="K634" i="6"/>
  <c r="K189" i="7"/>
  <c r="K199" i="7"/>
  <c r="J138" i="1"/>
  <c r="K219" i="2"/>
  <c r="K229" i="2"/>
  <c r="K235" i="2"/>
  <c r="L254" i="2"/>
  <c r="L252" i="2" s="1"/>
  <c r="L250" i="2" s="1"/>
  <c r="N292" i="2"/>
  <c r="N290" i="2" s="1"/>
  <c r="K372" i="2"/>
  <c r="N603" i="1"/>
  <c r="J610" i="1"/>
  <c r="N661" i="1"/>
  <c r="N68" i="3"/>
  <c r="N66" i="3" s="1"/>
  <c r="N142" i="3"/>
  <c r="N140" i="3" s="1"/>
  <c r="K650" i="3"/>
  <c r="N222" i="5"/>
  <c r="P222" i="5" s="1"/>
  <c r="K628" i="5"/>
  <c r="K631" i="5"/>
  <c r="L57" i="6"/>
  <c r="O57" i="6" s="1"/>
  <c r="N120" i="6"/>
  <c r="N118" i="6" s="1"/>
  <c r="K249" i="6"/>
  <c r="K158" i="7"/>
  <c r="O349" i="7"/>
  <c r="K380" i="7"/>
  <c r="O568" i="7"/>
  <c r="K369" i="11"/>
  <c r="I367" i="11"/>
  <c r="K367" i="11" s="1"/>
  <c r="N32" i="12"/>
  <c r="N30" i="12" s="1"/>
  <c r="N34" i="12"/>
  <c r="N14" i="12" s="1"/>
  <c r="N32" i="13"/>
  <c r="N30" i="13" s="1"/>
  <c r="J651" i="13"/>
  <c r="L45" i="2"/>
  <c r="O45" i="2" s="1"/>
  <c r="K264" i="2"/>
  <c r="K267" i="2"/>
  <c r="P275" i="2"/>
  <c r="L294" i="2"/>
  <c r="L292" i="2" s="1"/>
  <c r="L290" i="2" s="1"/>
  <c r="J434" i="1"/>
  <c r="N458" i="1"/>
  <c r="K88" i="3"/>
  <c r="K93" i="3"/>
  <c r="L144" i="3"/>
  <c r="L142" i="3" s="1"/>
  <c r="L254" i="3"/>
  <c r="L252" i="3" s="1"/>
  <c r="L250" i="3" s="1"/>
  <c r="L333" i="3"/>
  <c r="L331" i="3" s="1"/>
  <c r="K474" i="3"/>
  <c r="K498" i="3"/>
  <c r="K133" i="4"/>
  <c r="K597" i="4"/>
  <c r="K93" i="5"/>
  <c r="K108" i="5"/>
  <c r="N292" i="5"/>
  <c r="N290" i="5" s="1"/>
  <c r="K345" i="5"/>
  <c r="L34" i="5"/>
  <c r="K372" i="5"/>
  <c r="L122" i="6"/>
  <c r="O122" i="6" s="1"/>
  <c r="K285" i="6"/>
  <c r="K420" i="6"/>
  <c r="K423" i="6"/>
  <c r="O435" i="6"/>
  <c r="O455" i="6"/>
  <c r="O584" i="6"/>
  <c r="K589" i="6"/>
  <c r="N22" i="7"/>
  <c r="L144" i="7"/>
  <c r="O144" i="7" s="1"/>
  <c r="L275" i="7"/>
  <c r="L273" i="7" s="1"/>
  <c r="P337" i="7"/>
  <c r="K341" i="7"/>
  <c r="O347" i="7"/>
  <c r="K377" i="7"/>
  <c r="K455" i="7"/>
  <c r="K564" i="7"/>
  <c r="K450" i="8"/>
  <c r="K481" i="9"/>
  <c r="N258" i="1"/>
  <c r="K396" i="2"/>
  <c r="J446" i="1"/>
  <c r="J551" i="1"/>
  <c r="N572" i="1"/>
  <c r="N600" i="1"/>
  <c r="K633" i="2"/>
  <c r="O599" i="3"/>
  <c r="K426" i="4"/>
  <c r="N33" i="5"/>
  <c r="N13" i="5" s="1"/>
  <c r="L45" i="6"/>
  <c r="O45" i="6" s="1"/>
  <c r="K398" i="6"/>
  <c r="O401" i="6"/>
  <c r="K418" i="6"/>
  <c r="K424" i="6"/>
  <c r="K481" i="6"/>
  <c r="K499" i="6"/>
  <c r="N32" i="6"/>
  <c r="N30" i="6" s="1"/>
  <c r="K618" i="6"/>
  <c r="K630" i="6"/>
  <c r="K633" i="6"/>
  <c r="O404" i="7"/>
  <c r="O455" i="7"/>
  <c r="J104" i="1"/>
  <c r="K199" i="2"/>
  <c r="J216" i="1"/>
  <c r="L275" i="2"/>
  <c r="O275" i="2" s="1"/>
  <c r="K309" i="2"/>
  <c r="O437" i="2"/>
  <c r="N456" i="1"/>
  <c r="O537" i="2"/>
  <c r="K580" i="2"/>
  <c r="K631" i="2"/>
  <c r="K634" i="2"/>
  <c r="K64" i="3"/>
  <c r="O337" i="3"/>
  <c r="O352" i="3"/>
  <c r="K632" i="3"/>
  <c r="P49" i="4"/>
  <c r="L70" i="4"/>
  <c r="O70" i="4" s="1"/>
  <c r="L122" i="4"/>
  <c r="K229" i="4"/>
  <c r="K235" i="4"/>
  <c r="K345" i="4"/>
  <c r="P98" i="5"/>
  <c r="P144" i="5"/>
  <c r="K435" i="5"/>
  <c r="O457" i="5"/>
  <c r="L70" i="6"/>
  <c r="O70" i="6" s="1"/>
  <c r="P98" i="6"/>
  <c r="K149" i="6"/>
  <c r="K158" i="6"/>
  <c r="O537" i="6"/>
  <c r="L122" i="7"/>
  <c r="O122" i="7" s="1"/>
  <c r="K229" i="7"/>
  <c r="L254" i="7"/>
  <c r="O254" i="7" s="1"/>
  <c r="K349" i="7"/>
  <c r="K372" i="7"/>
  <c r="K375" i="7"/>
  <c r="K381" i="7"/>
  <c r="K427" i="7"/>
  <c r="K551" i="7"/>
  <c r="O584" i="7"/>
  <c r="K589" i="7"/>
  <c r="P294" i="9"/>
  <c r="M292" i="9"/>
  <c r="P292" i="9" s="1"/>
  <c r="P314" i="14"/>
  <c r="M312" i="14"/>
  <c r="P312" i="14" s="1"/>
  <c r="K65" i="8"/>
  <c r="L144" i="8"/>
  <c r="O144" i="8" s="1"/>
  <c r="N252" i="8"/>
  <c r="N250" i="8" s="1"/>
  <c r="L314" i="8"/>
  <c r="L312" i="8" s="1"/>
  <c r="I367" i="8"/>
  <c r="K367" i="8" s="1"/>
  <c r="O385" i="8"/>
  <c r="K425" i="8"/>
  <c r="K435" i="8"/>
  <c r="K93" i="9"/>
  <c r="K634" i="9"/>
  <c r="K418" i="10"/>
  <c r="K424" i="10"/>
  <c r="O601" i="10"/>
  <c r="K628" i="10"/>
  <c r="K92" i="11"/>
  <c r="N120" i="11"/>
  <c r="P120" i="11" s="1"/>
  <c r="K164" i="11"/>
  <c r="K186" i="11"/>
  <c r="N31" i="11"/>
  <c r="N29" i="11" s="1"/>
  <c r="K416" i="11"/>
  <c r="N273" i="12"/>
  <c r="P273" i="12" s="1"/>
  <c r="N120" i="14"/>
  <c r="N118" i="14" s="1"/>
  <c r="K629" i="14"/>
  <c r="L34" i="18"/>
  <c r="N96" i="8"/>
  <c r="N94" i="8" s="1"/>
  <c r="K423" i="8"/>
  <c r="K455" i="8"/>
  <c r="O459" i="8"/>
  <c r="K464" i="8"/>
  <c r="K597" i="8"/>
  <c r="K665" i="8"/>
  <c r="N96" i="9"/>
  <c r="N94" i="9" s="1"/>
  <c r="N331" i="9"/>
  <c r="N329" i="9" s="1"/>
  <c r="K418" i="9"/>
  <c r="K421" i="9"/>
  <c r="K473" i="9"/>
  <c r="O102" i="10"/>
  <c r="L122" i="10"/>
  <c r="O122" i="10" s="1"/>
  <c r="N292" i="10"/>
  <c r="N290" i="10" s="1"/>
  <c r="O439" i="10"/>
  <c r="K450" i="10"/>
  <c r="K376" i="11"/>
  <c r="K380" i="11"/>
  <c r="O385" i="11"/>
  <c r="K397" i="11"/>
  <c r="K401" i="11"/>
  <c r="K432" i="11"/>
  <c r="O435" i="11"/>
  <c r="O457" i="11"/>
  <c r="K465" i="11"/>
  <c r="K628" i="11"/>
  <c r="K634" i="11"/>
  <c r="K84" i="12"/>
  <c r="K381" i="12"/>
  <c r="K418" i="12"/>
  <c r="K424" i="12"/>
  <c r="K430" i="12"/>
  <c r="N120" i="13"/>
  <c r="N118" i="13" s="1"/>
  <c r="K375" i="13"/>
  <c r="K498" i="13"/>
  <c r="K65" i="14"/>
  <c r="P70" i="14"/>
  <c r="K80" i="14"/>
  <c r="K149" i="14"/>
  <c r="L294" i="14"/>
  <c r="O294" i="14" s="1"/>
  <c r="O535" i="14"/>
  <c r="K616" i="14"/>
  <c r="K630" i="14"/>
  <c r="K633" i="14"/>
  <c r="O457" i="15"/>
  <c r="K185" i="8"/>
  <c r="K199" i="8"/>
  <c r="K219" i="8"/>
  <c r="P275" i="8"/>
  <c r="K345" i="8"/>
  <c r="N31" i="8"/>
  <c r="N29" i="8" s="1"/>
  <c r="J651" i="8"/>
  <c r="K651" i="8" s="1"/>
  <c r="L57" i="9"/>
  <c r="L55" i="9" s="1"/>
  <c r="L53" i="9" s="1"/>
  <c r="K229" i="9"/>
  <c r="L254" i="9"/>
  <c r="O254" i="9" s="1"/>
  <c r="P275" i="9"/>
  <c r="N32" i="9"/>
  <c r="N30" i="9" s="1"/>
  <c r="J671" i="9"/>
  <c r="K111" i="10"/>
  <c r="K380" i="10"/>
  <c r="K533" i="10"/>
  <c r="O564" i="10"/>
  <c r="P45" i="11"/>
  <c r="O102" i="11"/>
  <c r="L275" i="11"/>
  <c r="O275" i="11" s="1"/>
  <c r="O337" i="11"/>
  <c r="K499" i="11"/>
  <c r="K370" i="12"/>
  <c r="K419" i="12"/>
  <c r="K425" i="12"/>
  <c r="K431" i="12"/>
  <c r="K435" i="12"/>
  <c r="K455" i="12"/>
  <c r="O459" i="12"/>
  <c r="K464" i="12"/>
  <c r="K473" i="12"/>
  <c r="K482" i="12"/>
  <c r="K497" i="12"/>
  <c r="K564" i="12"/>
  <c r="O580" i="12"/>
  <c r="P275" i="17"/>
  <c r="M273" i="17"/>
  <c r="P273" i="17" s="1"/>
  <c r="K474" i="8"/>
  <c r="K343" i="9"/>
  <c r="K466" i="9"/>
  <c r="K149" i="10"/>
  <c r="K158" i="10"/>
  <c r="K185" i="10"/>
  <c r="N273" i="10"/>
  <c r="K420" i="10"/>
  <c r="K423" i="10"/>
  <c r="K426" i="10"/>
  <c r="K418" i="11"/>
  <c r="K421" i="11"/>
  <c r="K424" i="11"/>
  <c r="K427" i="11"/>
  <c r="N33" i="11"/>
  <c r="N13" i="11" s="1"/>
  <c r="L45" i="13"/>
  <c r="O45" i="13" s="1"/>
  <c r="K92" i="13"/>
  <c r="K396" i="13"/>
  <c r="K416" i="13"/>
  <c r="K422" i="13"/>
  <c r="K473" i="13"/>
  <c r="K551" i="13"/>
  <c r="O601" i="13"/>
  <c r="K612" i="13"/>
  <c r="K628" i="13"/>
  <c r="K186" i="14"/>
  <c r="L224" i="14"/>
  <c r="O224" i="14" s="1"/>
  <c r="K264" i="14"/>
  <c r="K498" i="14"/>
  <c r="P57" i="15"/>
  <c r="L70" i="15"/>
  <c r="O70" i="15" s="1"/>
  <c r="N331" i="16"/>
  <c r="N329" i="16" s="1"/>
  <c r="K633" i="7"/>
  <c r="L70" i="8"/>
  <c r="L68" i="8" s="1"/>
  <c r="L66" i="8" s="1"/>
  <c r="K372" i="8"/>
  <c r="K381" i="8"/>
  <c r="K421" i="8"/>
  <c r="O439" i="8"/>
  <c r="K573" i="8"/>
  <c r="K111" i="9"/>
  <c r="K199" i="9"/>
  <c r="N312" i="9"/>
  <c r="N310" i="9" s="1"/>
  <c r="O385" i="9"/>
  <c r="K401" i="9"/>
  <c r="O537" i="9"/>
  <c r="P70" i="10"/>
  <c r="K164" i="10"/>
  <c r="K173" i="10"/>
  <c r="P275" i="10"/>
  <c r="L294" i="10"/>
  <c r="O294" i="10" s="1"/>
  <c r="K341" i="10"/>
  <c r="O347" i="10"/>
  <c r="K377" i="10"/>
  <c r="K465" i="10"/>
  <c r="O533" i="10"/>
  <c r="K580" i="10"/>
  <c r="L45" i="11"/>
  <c r="O45" i="11" s="1"/>
  <c r="K149" i="11"/>
  <c r="K158" i="11"/>
  <c r="N222" i="11"/>
  <c r="N220" i="11" s="1"/>
  <c r="L254" i="11"/>
  <c r="O254" i="11" s="1"/>
  <c r="N142" i="12"/>
  <c r="N140" i="12" s="1"/>
  <c r="K164" i="12"/>
  <c r="K173" i="12"/>
  <c r="K199" i="12"/>
  <c r="K270" i="12"/>
  <c r="L275" i="12"/>
  <c r="O275" i="12" s="1"/>
  <c r="M292" i="12"/>
  <c r="P292" i="12" s="1"/>
  <c r="O385" i="12"/>
  <c r="O455" i="12"/>
  <c r="K465" i="12"/>
  <c r="K474" i="12"/>
  <c r="K498" i="12"/>
  <c r="K597" i="12"/>
  <c r="O599" i="12"/>
  <c r="K629" i="12"/>
  <c r="N68" i="13"/>
  <c r="N66" i="13" s="1"/>
  <c r="N96" i="13"/>
  <c r="N94" i="13" s="1"/>
  <c r="N142" i="13"/>
  <c r="P142" i="13" s="1"/>
  <c r="K176" i="13"/>
  <c r="K185" i="13"/>
  <c r="K189" i="13"/>
  <c r="N31" i="13"/>
  <c r="N29" i="13" s="1"/>
  <c r="K397" i="13"/>
  <c r="K474" i="13"/>
  <c r="K497" i="13"/>
  <c r="O551" i="13"/>
  <c r="O580" i="13"/>
  <c r="O599" i="13"/>
  <c r="K85" i="14"/>
  <c r="M96" i="14"/>
  <c r="P96" i="14" s="1"/>
  <c r="L275" i="14"/>
  <c r="L273" i="14" s="1"/>
  <c r="L271" i="14" s="1"/>
  <c r="K370" i="14"/>
  <c r="K499" i="14"/>
  <c r="N33" i="14"/>
  <c r="N13" i="14" s="1"/>
  <c r="O599" i="14"/>
  <c r="P45" i="15"/>
  <c r="N55" i="15"/>
  <c r="N53" i="15" s="1"/>
  <c r="K88" i="15"/>
  <c r="N222" i="15"/>
  <c r="N220" i="15" s="1"/>
  <c r="K589" i="15"/>
  <c r="K595" i="15"/>
  <c r="O599" i="15"/>
  <c r="K173" i="16"/>
  <c r="N292" i="16"/>
  <c r="N290" i="16" s="1"/>
  <c r="O380" i="16"/>
  <c r="M252" i="17"/>
  <c r="K266" i="17"/>
  <c r="O337" i="17"/>
  <c r="K580" i="17"/>
  <c r="K629" i="17"/>
  <c r="N22" i="18"/>
  <c r="K450" i="18"/>
  <c r="O347" i="19"/>
  <c r="K64" i="20"/>
  <c r="K82" i="20"/>
  <c r="K88" i="20"/>
  <c r="N273" i="20"/>
  <c r="N271" i="20" s="1"/>
  <c r="N68" i="21"/>
  <c r="N66" i="21" s="1"/>
  <c r="K266" i="21"/>
  <c r="K376" i="21"/>
  <c r="K401" i="21"/>
  <c r="K420" i="21"/>
  <c r="K551" i="21"/>
  <c r="O597" i="21"/>
  <c r="K84" i="15"/>
  <c r="L122" i="15"/>
  <c r="O122" i="15" s="1"/>
  <c r="L224" i="15"/>
  <c r="O224" i="15" s="1"/>
  <c r="K264" i="15"/>
  <c r="K267" i="15"/>
  <c r="O354" i="15"/>
  <c r="K372" i="15"/>
  <c r="K375" i="15"/>
  <c r="L45" i="16"/>
  <c r="L43" i="16" s="1"/>
  <c r="K343" i="16"/>
  <c r="O383" i="16"/>
  <c r="O401" i="16"/>
  <c r="K418" i="16"/>
  <c r="O599" i="16"/>
  <c r="J671" i="16"/>
  <c r="K149" i="17"/>
  <c r="K176" i="17"/>
  <c r="N312" i="17"/>
  <c r="N310" i="17" s="1"/>
  <c r="K349" i="17"/>
  <c r="K402" i="17"/>
  <c r="K416" i="17"/>
  <c r="K422" i="17"/>
  <c r="K428" i="17"/>
  <c r="K435" i="17"/>
  <c r="O437" i="17"/>
  <c r="O597" i="17"/>
  <c r="K632" i="17"/>
  <c r="P49" i="18"/>
  <c r="L57" i="18"/>
  <c r="O57" i="18" s="1"/>
  <c r="K83" i="18"/>
  <c r="K428" i="18"/>
  <c r="K533" i="18"/>
  <c r="K564" i="18"/>
  <c r="K629" i="18"/>
  <c r="K189" i="19"/>
  <c r="K229" i="19"/>
  <c r="K235" i="19"/>
  <c r="L275" i="19"/>
  <c r="O275" i="19" s="1"/>
  <c r="M292" i="19"/>
  <c r="P292" i="19" s="1"/>
  <c r="K375" i="19"/>
  <c r="K396" i="19"/>
  <c r="K402" i="19"/>
  <c r="K629" i="19"/>
  <c r="K635" i="19"/>
  <c r="J671" i="19"/>
  <c r="K117" i="20"/>
  <c r="K132" i="20"/>
  <c r="L275" i="20"/>
  <c r="O275" i="20" s="1"/>
  <c r="K368" i="20"/>
  <c r="K377" i="20"/>
  <c r="O380" i="20"/>
  <c r="O383" i="20"/>
  <c r="K423" i="20"/>
  <c r="K618" i="20"/>
  <c r="K108" i="21"/>
  <c r="K111" i="21"/>
  <c r="L144" i="21"/>
  <c r="O144" i="21" s="1"/>
  <c r="K173" i="21"/>
  <c r="N252" i="21"/>
  <c r="N250" i="21" s="1"/>
  <c r="K264" i="21"/>
  <c r="P275" i="21"/>
  <c r="K418" i="21"/>
  <c r="K429" i="21"/>
  <c r="O435" i="21"/>
  <c r="K482" i="21"/>
  <c r="K629" i="21"/>
  <c r="L333" i="15"/>
  <c r="L331" i="15" s="1"/>
  <c r="K340" i="15"/>
  <c r="K396" i="15"/>
  <c r="K630" i="15"/>
  <c r="L70" i="16"/>
  <c r="O70" i="16" s="1"/>
  <c r="O352" i="16"/>
  <c r="K396" i="16"/>
  <c r="K419" i="16"/>
  <c r="K422" i="16"/>
  <c r="K428" i="16"/>
  <c r="K431" i="16"/>
  <c r="K481" i="16"/>
  <c r="K595" i="16"/>
  <c r="O597" i="16"/>
  <c r="K455" i="17"/>
  <c r="O601" i="17"/>
  <c r="L45" i="18"/>
  <c r="O45" i="18" s="1"/>
  <c r="K65" i="18"/>
  <c r="K176" i="18"/>
  <c r="K189" i="18"/>
  <c r="K199" i="18"/>
  <c r="K417" i="18"/>
  <c r="K420" i="18"/>
  <c r="O533" i="18"/>
  <c r="N31" i="18"/>
  <c r="N29" i="18" s="1"/>
  <c r="K560" i="18"/>
  <c r="K589" i="18"/>
  <c r="O597" i="18"/>
  <c r="K619" i="18"/>
  <c r="K401" i="19"/>
  <c r="K419" i="19"/>
  <c r="K425" i="19"/>
  <c r="K431" i="19"/>
  <c r="K435" i="19"/>
  <c r="O437" i="19"/>
  <c r="K464" i="19"/>
  <c r="O533" i="19"/>
  <c r="K547" i="19"/>
  <c r="K372" i="20"/>
  <c r="K375" i="20"/>
  <c r="K381" i="20"/>
  <c r="K418" i="20"/>
  <c r="K573" i="20"/>
  <c r="K593" i="20"/>
  <c r="O601" i="20"/>
  <c r="K628" i="20"/>
  <c r="K631" i="20"/>
  <c r="K634" i="20"/>
  <c r="K649" i="20"/>
  <c r="K92" i="21"/>
  <c r="L98" i="21"/>
  <c r="L96" i="21" s="1"/>
  <c r="K109" i="21"/>
  <c r="K112" i="21"/>
  <c r="K138" i="21"/>
  <c r="K328" i="21"/>
  <c r="P333" i="21"/>
  <c r="K349" i="21"/>
  <c r="O354" i="21"/>
  <c r="K381" i="21"/>
  <c r="K416" i="21"/>
  <c r="K424" i="21"/>
  <c r="K430" i="21"/>
  <c r="O439" i="21"/>
  <c r="K450" i="21"/>
  <c r="O537" i="21"/>
  <c r="O551" i="21"/>
  <c r="O568" i="21"/>
  <c r="K573" i="21"/>
  <c r="K620" i="21"/>
  <c r="K630" i="21"/>
  <c r="N55" i="17"/>
  <c r="N53" i="17" s="1"/>
  <c r="N120" i="19"/>
  <c r="N118" i="19" s="1"/>
  <c r="K189" i="15"/>
  <c r="K199" i="15"/>
  <c r="K216" i="15"/>
  <c r="N55" i="16"/>
  <c r="N53" i="16" s="1"/>
  <c r="N120" i="16"/>
  <c r="N118" i="16" s="1"/>
  <c r="K465" i="16"/>
  <c r="K497" i="16"/>
  <c r="J651" i="16"/>
  <c r="K65" i="17"/>
  <c r="K81" i="17"/>
  <c r="L98" i="17"/>
  <c r="L96" i="17" s="1"/>
  <c r="L94" i="17" s="1"/>
  <c r="K368" i="17"/>
  <c r="N222" i="18"/>
  <c r="N220" i="18" s="1"/>
  <c r="K328" i="18"/>
  <c r="O582" i="18"/>
  <c r="K593" i="18"/>
  <c r="K631" i="18"/>
  <c r="N55" i="19"/>
  <c r="N53" i="19" s="1"/>
  <c r="N68" i="19"/>
  <c r="P68" i="19" s="1"/>
  <c r="K84" i="19"/>
  <c r="N252" i="19"/>
  <c r="N250" i="19" s="1"/>
  <c r="N273" i="19"/>
  <c r="N271" i="19" s="1"/>
  <c r="K398" i="19"/>
  <c r="O401" i="19"/>
  <c r="K634" i="19"/>
  <c r="K422" i="20"/>
  <c r="K430" i="20"/>
  <c r="N34" i="20"/>
  <c r="N14" i="20" s="1"/>
  <c r="K564" i="20"/>
  <c r="O566" i="20"/>
  <c r="K176" i="21"/>
  <c r="K340" i="21"/>
  <c r="K435" i="21"/>
  <c r="K455" i="21"/>
  <c r="K498" i="21"/>
  <c r="O599" i="21"/>
  <c r="K628" i="21"/>
  <c r="N96" i="2"/>
  <c r="N94" i="2" s="1"/>
  <c r="K370" i="2"/>
  <c r="K424" i="2"/>
  <c r="K430" i="2"/>
  <c r="O582" i="2"/>
  <c r="K622" i="2"/>
  <c r="K270" i="3"/>
  <c r="K343" i="3"/>
  <c r="O349" i="3"/>
  <c r="O457" i="3"/>
  <c r="K482" i="3"/>
  <c r="K499" i="3"/>
  <c r="L26" i="4"/>
  <c r="L16" i="4" s="1"/>
  <c r="M68" i="2"/>
  <c r="K132" i="2"/>
  <c r="K265" i="2"/>
  <c r="K547" i="2"/>
  <c r="K620" i="2"/>
  <c r="K235" i="3"/>
  <c r="K449" i="3"/>
  <c r="N252" i="4"/>
  <c r="N250" i="4" s="1"/>
  <c r="N222" i="2"/>
  <c r="N220" i="2" s="1"/>
  <c r="K270" i="2"/>
  <c r="K306" i="2"/>
  <c r="N312" i="2"/>
  <c r="N310" i="2" s="1"/>
  <c r="O337" i="2"/>
  <c r="K350" i="2"/>
  <c r="O380" i="2"/>
  <c r="K397" i="2"/>
  <c r="K428" i="2"/>
  <c r="K466" i="2"/>
  <c r="O599" i="2"/>
  <c r="K618" i="2"/>
  <c r="K630" i="2"/>
  <c r="L57" i="3"/>
  <c r="L55" i="3" s="1"/>
  <c r="L53" i="3" s="1"/>
  <c r="P144" i="3"/>
  <c r="K158" i="3"/>
  <c r="L314" i="3"/>
  <c r="L312" i="3" s="1"/>
  <c r="L310" i="3" s="1"/>
  <c r="K328" i="3"/>
  <c r="K341" i="3"/>
  <c r="O347" i="3"/>
  <c r="O406" i="3"/>
  <c r="O455" i="3"/>
  <c r="K497" i="3"/>
  <c r="N43" i="4"/>
  <c r="N41" i="4" s="1"/>
  <c r="N292" i="4"/>
  <c r="N290" i="4" s="1"/>
  <c r="P122" i="2"/>
  <c r="K164" i="2"/>
  <c r="L224" i="2"/>
  <c r="O224" i="2" s="1"/>
  <c r="L314" i="2"/>
  <c r="L312" i="2" s="1"/>
  <c r="L310" i="2" s="1"/>
  <c r="K401" i="2"/>
  <c r="O406" i="2"/>
  <c r="K451" i="2"/>
  <c r="K626" i="2"/>
  <c r="K109" i="3"/>
  <c r="L224" i="3"/>
  <c r="L222" i="3" s="1"/>
  <c r="L32" i="3"/>
  <c r="K625" i="3"/>
  <c r="N142" i="4"/>
  <c r="N140" i="4" s="1"/>
  <c r="M252" i="4"/>
  <c r="P252" i="4" s="1"/>
  <c r="L294" i="4"/>
  <c r="O294" i="4" s="1"/>
  <c r="K341" i="4"/>
  <c r="N120" i="2"/>
  <c r="N118" i="2" s="1"/>
  <c r="L45" i="3"/>
  <c r="L43" i="3" s="1"/>
  <c r="K81" i="3"/>
  <c r="K349" i="3"/>
  <c r="O459" i="3"/>
  <c r="O566" i="3"/>
  <c r="K623" i="3"/>
  <c r="K630" i="3"/>
  <c r="L24" i="4"/>
  <c r="O24" i="4" s="1"/>
  <c r="N68" i="4"/>
  <c r="N66" i="4" s="1"/>
  <c r="P275" i="4"/>
  <c r="N273" i="2"/>
  <c r="N271" i="2" s="1"/>
  <c r="N331" i="2"/>
  <c r="N329" i="2" s="1"/>
  <c r="K418" i="2"/>
  <c r="K432" i="2"/>
  <c r="O535" i="2"/>
  <c r="N26" i="3"/>
  <c r="N16" i="3" s="1"/>
  <c r="K630" i="4"/>
  <c r="K633" i="4"/>
  <c r="K92" i="5"/>
  <c r="K113" i="5"/>
  <c r="L23" i="6"/>
  <c r="O23" i="6" s="1"/>
  <c r="J671" i="6"/>
  <c r="K111" i="7"/>
  <c r="P224" i="7"/>
  <c r="K625" i="7"/>
  <c r="M26" i="8"/>
  <c r="M16" i="8" s="1"/>
  <c r="K615" i="9"/>
  <c r="N55" i="11"/>
  <c r="N53" i="11" s="1"/>
  <c r="P53" i="11" s="1"/>
  <c r="P57" i="11"/>
  <c r="O437" i="12"/>
  <c r="L32" i="12"/>
  <c r="M331" i="13"/>
  <c r="M329" i="13" s="1"/>
  <c r="P333" i="13"/>
  <c r="O436" i="13"/>
  <c r="L31" i="13"/>
  <c r="K369" i="14"/>
  <c r="I367" i="14"/>
  <c r="K367" i="14" s="1"/>
  <c r="O383" i="15"/>
  <c r="L32" i="15"/>
  <c r="L30" i="15" s="1"/>
  <c r="K402" i="4"/>
  <c r="O455" i="4"/>
  <c r="K64" i="5"/>
  <c r="K368" i="5"/>
  <c r="K380" i="5"/>
  <c r="K416" i="5"/>
  <c r="O459" i="5"/>
  <c r="M120" i="6"/>
  <c r="P120" i="6" s="1"/>
  <c r="K201" i="6"/>
  <c r="K304" i="6"/>
  <c r="L314" i="6"/>
  <c r="O314" i="6" s="1"/>
  <c r="K328" i="6"/>
  <c r="K377" i="6"/>
  <c r="O380" i="6"/>
  <c r="O385" i="6"/>
  <c r="K417" i="6"/>
  <c r="K435" i="6"/>
  <c r="O566" i="6"/>
  <c r="K580" i="6"/>
  <c r="O582" i="6"/>
  <c r="K595" i="6"/>
  <c r="N142" i="7"/>
  <c r="N140" i="7" s="1"/>
  <c r="N273" i="7"/>
  <c r="N271" i="7" s="1"/>
  <c r="N32" i="7"/>
  <c r="N30" i="7" s="1"/>
  <c r="K499" i="7"/>
  <c r="O564" i="7"/>
  <c r="K623" i="7"/>
  <c r="L640" i="7"/>
  <c r="L638" i="7" s="1"/>
  <c r="N292" i="8"/>
  <c r="N290" i="8" s="1"/>
  <c r="K481" i="8"/>
  <c r="K533" i="8"/>
  <c r="O568" i="8"/>
  <c r="K595" i="8"/>
  <c r="K635" i="8"/>
  <c r="O650" i="8"/>
  <c r="L45" i="9"/>
  <c r="O45" i="9" s="1"/>
  <c r="K149" i="9"/>
  <c r="N252" i="9"/>
  <c r="N250" i="9" s="1"/>
  <c r="I367" i="9"/>
  <c r="K367" i="9" s="1"/>
  <c r="N34" i="9"/>
  <c r="N14" i="9" s="1"/>
  <c r="O535" i="9"/>
  <c r="J651" i="9"/>
  <c r="K84" i="10"/>
  <c r="O457" i="10"/>
  <c r="O405" i="13"/>
  <c r="L33" i="13"/>
  <c r="O33" i="13" s="1"/>
  <c r="O385" i="4"/>
  <c r="K397" i="4"/>
  <c r="K416" i="4"/>
  <c r="K533" i="4"/>
  <c r="O535" i="4"/>
  <c r="O568" i="4"/>
  <c r="K573" i="4"/>
  <c r="O601" i="4"/>
  <c r="K628" i="4"/>
  <c r="K631" i="4"/>
  <c r="K634" i="4"/>
  <c r="K80" i="5"/>
  <c r="K189" i="5"/>
  <c r="K199" i="5"/>
  <c r="M273" i="5"/>
  <c r="P273" i="5" s="1"/>
  <c r="L333" i="5"/>
  <c r="L331" i="5" s="1"/>
  <c r="L329" i="5" s="1"/>
  <c r="K420" i="5"/>
  <c r="K423" i="5"/>
  <c r="K429" i="5"/>
  <c r="K455" i="5"/>
  <c r="K465" i="5"/>
  <c r="O537" i="5"/>
  <c r="K630" i="5"/>
  <c r="K635" i="5"/>
  <c r="O649" i="5"/>
  <c r="K108" i="6"/>
  <c r="K113" i="6"/>
  <c r="K289" i="6"/>
  <c r="K345" i="6"/>
  <c r="O459" i="6"/>
  <c r="K473" i="6"/>
  <c r="K497" i="6"/>
  <c r="O553" i="6"/>
  <c r="O564" i="6"/>
  <c r="O597" i="6"/>
  <c r="K631" i="6"/>
  <c r="L57" i="7"/>
  <c r="L55" i="7" s="1"/>
  <c r="L53" i="7" s="1"/>
  <c r="K93" i="7"/>
  <c r="P144" i="7"/>
  <c r="K185" i="7"/>
  <c r="L314" i="7"/>
  <c r="L312" i="7" s="1"/>
  <c r="K328" i="7"/>
  <c r="O383" i="7"/>
  <c r="K419" i="7"/>
  <c r="O439" i="7"/>
  <c r="K466" i="7"/>
  <c r="K473" i="7"/>
  <c r="K481" i="7"/>
  <c r="K580" i="7"/>
  <c r="K621" i="7"/>
  <c r="K630" i="7"/>
  <c r="N142" i="8"/>
  <c r="N140" i="8" s="1"/>
  <c r="K375" i="8"/>
  <c r="K397" i="8"/>
  <c r="K449" i="8"/>
  <c r="O457" i="8"/>
  <c r="K564" i="8"/>
  <c r="O582" i="8"/>
  <c r="O597" i="8"/>
  <c r="K625" i="8"/>
  <c r="K81" i="9"/>
  <c r="L98" i="9"/>
  <c r="O98" i="9" s="1"/>
  <c r="K110" i="9"/>
  <c r="K113" i="9"/>
  <c r="L144" i="9"/>
  <c r="O144" i="9" s="1"/>
  <c r="K164" i="9"/>
  <c r="K173" i="9"/>
  <c r="L224" i="9"/>
  <c r="L222" i="9" s="1"/>
  <c r="L220" i="9" s="1"/>
  <c r="K235" i="9"/>
  <c r="K372" i="9"/>
  <c r="K423" i="9"/>
  <c r="K426" i="9"/>
  <c r="K431" i="9"/>
  <c r="K465" i="9"/>
  <c r="O533" i="9"/>
  <c r="K564" i="9"/>
  <c r="O566" i="9"/>
  <c r="K88" i="10"/>
  <c r="L144" i="10"/>
  <c r="K176" i="10"/>
  <c r="K416" i="10"/>
  <c r="K431" i="10"/>
  <c r="K481" i="10"/>
  <c r="K499" i="10"/>
  <c r="O568" i="10"/>
  <c r="K573" i="10"/>
  <c r="O537" i="13"/>
  <c r="N34" i="13"/>
  <c r="N14" i="13" s="1"/>
  <c r="K613" i="6"/>
  <c r="O384" i="11"/>
  <c r="L33" i="11"/>
  <c r="O33" i="11" s="1"/>
  <c r="P337" i="12"/>
  <c r="M26" i="12"/>
  <c r="M16" i="12" s="1"/>
  <c r="O535" i="13"/>
  <c r="L32" i="13"/>
  <c r="L30" i="13" s="1"/>
  <c r="N34" i="4"/>
  <c r="N14" i="4" s="1"/>
  <c r="O401" i="4"/>
  <c r="K473" i="4"/>
  <c r="K109" i="5"/>
  <c r="M142" i="5"/>
  <c r="M140" i="5" s="1"/>
  <c r="K173" i="5"/>
  <c r="K343" i="5"/>
  <c r="O349" i="5"/>
  <c r="N34" i="5"/>
  <c r="N14" i="5" s="1"/>
  <c r="O380" i="5"/>
  <c r="K432" i="5"/>
  <c r="K499" i="5"/>
  <c r="N96" i="6"/>
  <c r="N94" i="6" s="1"/>
  <c r="M250" i="6"/>
  <c r="I367" i="6"/>
  <c r="K367" i="6" s="1"/>
  <c r="K421" i="6"/>
  <c r="K429" i="6"/>
  <c r="K432" i="6"/>
  <c r="K611" i="6"/>
  <c r="L24" i="7"/>
  <c r="O24" i="7" s="1"/>
  <c r="M55" i="7"/>
  <c r="M53" i="7" s="1"/>
  <c r="K186" i="7"/>
  <c r="K345" i="7"/>
  <c r="K398" i="7"/>
  <c r="O401" i="7"/>
  <c r="K431" i="7"/>
  <c r="O49" i="8"/>
  <c r="K80" i="8"/>
  <c r="L98" i="8"/>
  <c r="K368" i="8"/>
  <c r="K465" i="8"/>
  <c r="K499" i="8"/>
  <c r="O651" i="8"/>
  <c r="K92" i="9"/>
  <c r="O347" i="9"/>
  <c r="K368" i="9"/>
  <c r="K375" i="9"/>
  <c r="K450" i="9"/>
  <c r="K482" i="9"/>
  <c r="K617" i="9"/>
  <c r="K86" i="10"/>
  <c r="K138" i="10"/>
  <c r="P333" i="10"/>
  <c r="K429" i="10"/>
  <c r="O535" i="10"/>
  <c r="O566" i="10"/>
  <c r="L144" i="11"/>
  <c r="O144" i="11" s="1"/>
  <c r="O537" i="12"/>
  <c r="L34" i="12"/>
  <c r="N273" i="13"/>
  <c r="N271" i="13" s="1"/>
  <c r="N292" i="14"/>
  <c r="N290" i="14" s="1"/>
  <c r="O601" i="15"/>
  <c r="N34" i="15"/>
  <c r="N14" i="15" s="1"/>
  <c r="K421" i="4"/>
  <c r="K427" i="4"/>
  <c r="K449" i="4"/>
  <c r="K455" i="4"/>
  <c r="K465" i="4"/>
  <c r="K547" i="4"/>
  <c r="K564" i="4"/>
  <c r="K186" i="5"/>
  <c r="N273" i="5"/>
  <c r="N271" i="5" s="1"/>
  <c r="L294" i="5"/>
  <c r="L292" i="5" s="1"/>
  <c r="K350" i="5"/>
  <c r="I367" i="5"/>
  <c r="K367" i="5" s="1"/>
  <c r="K375" i="5"/>
  <c r="K396" i="5"/>
  <c r="K418" i="5"/>
  <c r="O455" i="5"/>
  <c r="K533" i="5"/>
  <c r="O601" i="5"/>
  <c r="N68" i="6"/>
  <c r="N66" i="6" s="1"/>
  <c r="K164" i="6"/>
  <c r="K173" i="6"/>
  <c r="P275" i="6"/>
  <c r="L294" i="6"/>
  <c r="L292" i="6" s="1"/>
  <c r="L290" i="6" s="1"/>
  <c r="P314" i="6"/>
  <c r="K402" i="6"/>
  <c r="K416" i="6"/>
  <c r="K427" i="6"/>
  <c r="K430" i="6"/>
  <c r="K533" i="6"/>
  <c r="K632" i="6"/>
  <c r="O649" i="6"/>
  <c r="N252" i="7"/>
  <c r="N250" i="7" s="1"/>
  <c r="N312" i="7"/>
  <c r="N310" i="7" s="1"/>
  <c r="K340" i="7"/>
  <c r="O352" i="7"/>
  <c r="K370" i="7"/>
  <c r="K376" i="7"/>
  <c r="K402" i="7"/>
  <c r="K423" i="7"/>
  <c r="K429" i="7"/>
  <c r="K547" i="7"/>
  <c r="K560" i="7"/>
  <c r="K632" i="7"/>
  <c r="K635" i="7"/>
  <c r="P49" i="8"/>
  <c r="K64" i="8"/>
  <c r="N68" i="8"/>
  <c r="N66" i="8" s="1"/>
  <c r="P66" i="8" s="1"/>
  <c r="K133" i="8"/>
  <c r="K173" i="8"/>
  <c r="K189" i="8"/>
  <c r="K264" i="8"/>
  <c r="K343" i="8"/>
  <c r="K380" i="8"/>
  <c r="K396" i="8"/>
  <c r="K628" i="8"/>
  <c r="K631" i="8"/>
  <c r="K634" i="8"/>
  <c r="K64" i="9"/>
  <c r="K88" i="9"/>
  <c r="K108" i="9"/>
  <c r="K349" i="9"/>
  <c r="K380" i="9"/>
  <c r="K396" i="9"/>
  <c r="O435" i="9"/>
  <c r="O564" i="9"/>
  <c r="K597" i="9"/>
  <c r="K628" i="9"/>
  <c r="K631" i="9"/>
  <c r="L640" i="9"/>
  <c r="L638" i="9" s="1"/>
  <c r="K109" i="10"/>
  <c r="M120" i="10"/>
  <c r="P120" i="10" s="1"/>
  <c r="P224" i="10"/>
  <c r="L254" i="10"/>
  <c r="O254" i="10" s="1"/>
  <c r="K285" i="10"/>
  <c r="M292" i="10"/>
  <c r="P292" i="10" s="1"/>
  <c r="L333" i="10"/>
  <c r="K340" i="10"/>
  <c r="K343" i="10"/>
  <c r="O349" i="10"/>
  <c r="I367" i="10"/>
  <c r="K367" i="10" s="1"/>
  <c r="K370" i="10"/>
  <c r="K375" i="10"/>
  <c r="K381" i="10"/>
  <c r="K421" i="10"/>
  <c r="O435" i="10"/>
  <c r="N32" i="10"/>
  <c r="N30" i="10" s="1"/>
  <c r="K455" i="10"/>
  <c r="N31" i="12"/>
  <c r="N29" i="12" s="1"/>
  <c r="O458" i="19"/>
  <c r="L33" i="19"/>
  <c r="O33" i="19" s="1"/>
  <c r="K597" i="10"/>
  <c r="O599" i="10"/>
  <c r="L70" i="11"/>
  <c r="L68" i="11" s="1"/>
  <c r="K113" i="11"/>
  <c r="K200" i="11"/>
  <c r="K449" i="11"/>
  <c r="P57" i="12"/>
  <c r="K416" i="12"/>
  <c r="K422" i="12"/>
  <c r="K428" i="12"/>
  <c r="K635" i="12"/>
  <c r="N43" i="13"/>
  <c r="N41" i="13" s="1"/>
  <c r="O102" i="13"/>
  <c r="K108" i="13"/>
  <c r="K219" i="13"/>
  <c r="P275" i="13"/>
  <c r="N331" i="13"/>
  <c r="O347" i="13"/>
  <c r="K419" i="13"/>
  <c r="K427" i="13"/>
  <c r="K465" i="13"/>
  <c r="K595" i="13"/>
  <c r="K88" i="14"/>
  <c r="L314" i="14"/>
  <c r="O314" i="14" s="1"/>
  <c r="M102" i="15"/>
  <c r="P102" i="15" s="1"/>
  <c r="O102" i="15"/>
  <c r="M331" i="15"/>
  <c r="M329" i="15" s="1"/>
  <c r="P333" i="15"/>
  <c r="O353" i="16"/>
  <c r="L33" i="16"/>
  <c r="O33" i="16" s="1"/>
  <c r="K430" i="16"/>
  <c r="K498" i="16"/>
  <c r="K111" i="11"/>
  <c r="K133" i="11"/>
  <c r="N292" i="11"/>
  <c r="N290" i="11" s="1"/>
  <c r="P333" i="11"/>
  <c r="K402" i="11"/>
  <c r="K450" i="11"/>
  <c r="O455" i="11"/>
  <c r="K328" i="12"/>
  <c r="P333" i="12"/>
  <c r="K417" i="12"/>
  <c r="K423" i="12"/>
  <c r="K429" i="12"/>
  <c r="O435" i="12"/>
  <c r="O457" i="12"/>
  <c r="K533" i="12"/>
  <c r="O535" i="12"/>
  <c r="O385" i="13"/>
  <c r="K420" i="13"/>
  <c r="K428" i="13"/>
  <c r="O437" i="13"/>
  <c r="O533" i="13"/>
  <c r="N644" i="13"/>
  <c r="N640" i="13" s="1"/>
  <c r="N638" i="13" s="1"/>
  <c r="N636" i="13" s="1"/>
  <c r="L70" i="14"/>
  <c r="L68" i="14" s="1"/>
  <c r="K249" i="14"/>
  <c r="K267" i="14"/>
  <c r="K350" i="14"/>
  <c r="O383" i="14"/>
  <c r="K65" i="15"/>
  <c r="N331" i="15"/>
  <c r="N329" i="15" s="1"/>
  <c r="N644" i="15"/>
  <c r="N640" i="15" s="1"/>
  <c r="N638" i="15" s="1"/>
  <c r="N636" i="15" s="1"/>
  <c r="N22" i="16"/>
  <c r="N43" i="16"/>
  <c r="N41" i="16" s="1"/>
  <c r="K109" i="17"/>
  <c r="K613" i="10"/>
  <c r="J671" i="10"/>
  <c r="N312" i="11"/>
  <c r="N310" i="11" s="1"/>
  <c r="K80" i="12"/>
  <c r="P98" i="13"/>
  <c r="K112" i="13"/>
  <c r="K138" i="13"/>
  <c r="P144" i="13"/>
  <c r="K149" i="13"/>
  <c r="N312" i="13"/>
  <c r="N310" i="13" s="1"/>
  <c r="K340" i="13"/>
  <c r="K625" i="14"/>
  <c r="K626" i="14"/>
  <c r="K215" i="15"/>
  <c r="K416" i="15"/>
  <c r="K419" i="15"/>
  <c r="K422" i="15"/>
  <c r="K425" i="15"/>
  <c r="K428" i="15"/>
  <c r="K431" i="15"/>
  <c r="O437" i="15"/>
  <c r="K629" i="15"/>
  <c r="P98" i="16"/>
  <c r="M96" i="16"/>
  <c r="P96" i="16" s="1"/>
  <c r="P224" i="17"/>
  <c r="O597" i="10"/>
  <c r="K625" i="10"/>
  <c r="K109" i="11"/>
  <c r="K112" i="11"/>
  <c r="N142" i="11"/>
  <c r="N140" i="11" s="1"/>
  <c r="K185" i="11"/>
  <c r="K189" i="11"/>
  <c r="O406" i="11"/>
  <c r="K417" i="11"/>
  <c r="K428" i="11"/>
  <c r="K431" i="11"/>
  <c r="O459" i="11"/>
  <c r="J671" i="11"/>
  <c r="K81" i="12"/>
  <c r="L122" i="12"/>
  <c r="O122" i="12" s="1"/>
  <c r="L224" i="12"/>
  <c r="O224" i="12" s="1"/>
  <c r="P254" i="12"/>
  <c r="O279" i="12"/>
  <c r="N292" i="12"/>
  <c r="N290" i="12" s="1"/>
  <c r="K421" i="12"/>
  <c r="K427" i="12"/>
  <c r="O439" i="12"/>
  <c r="K450" i="12"/>
  <c r="N55" i="13"/>
  <c r="N53" i="13" s="1"/>
  <c r="L254" i="13"/>
  <c r="O254" i="13" s="1"/>
  <c r="K370" i="13"/>
  <c r="O404" i="13"/>
  <c r="K418" i="13"/>
  <c r="K423" i="13"/>
  <c r="K432" i="13"/>
  <c r="O435" i="13"/>
  <c r="O459" i="13"/>
  <c r="O555" i="13"/>
  <c r="O564" i="13"/>
  <c r="K635" i="13"/>
  <c r="N96" i="14"/>
  <c r="N94" i="14" s="1"/>
  <c r="N222" i="14"/>
  <c r="N220" i="14" s="1"/>
  <c r="K265" i="14"/>
  <c r="M292" i="14"/>
  <c r="P292" i="14" s="1"/>
  <c r="N312" i="14"/>
  <c r="N310" i="14" s="1"/>
  <c r="L333" i="14"/>
  <c r="L331" i="14" s="1"/>
  <c r="L329" i="14" s="1"/>
  <c r="K343" i="14"/>
  <c r="P122" i="15"/>
  <c r="M120" i="15"/>
  <c r="M292" i="15"/>
  <c r="P292" i="15" s="1"/>
  <c r="P294" i="15"/>
  <c r="K397" i="16"/>
  <c r="O580" i="10"/>
  <c r="J651" i="10"/>
  <c r="N68" i="11"/>
  <c r="P68" i="11" s="1"/>
  <c r="P224" i="11"/>
  <c r="K229" i="11"/>
  <c r="K235" i="11"/>
  <c r="K398" i="11"/>
  <c r="K420" i="11"/>
  <c r="K426" i="11"/>
  <c r="K455" i="11"/>
  <c r="L70" i="12"/>
  <c r="L68" i="12" s="1"/>
  <c r="M96" i="12"/>
  <c r="P96" i="12" s="1"/>
  <c r="M120" i="12"/>
  <c r="P120" i="12" s="1"/>
  <c r="N312" i="12"/>
  <c r="N310" i="12" s="1"/>
  <c r="K368" i="12"/>
  <c r="K377" i="12"/>
  <c r="O584" i="12"/>
  <c r="O601" i="12"/>
  <c r="K628" i="12"/>
  <c r="K631" i="12"/>
  <c r="K634" i="12"/>
  <c r="L57" i="13"/>
  <c r="L55" i="13" s="1"/>
  <c r="L98" i="13"/>
  <c r="O98" i="13" s="1"/>
  <c r="K110" i="13"/>
  <c r="K113" i="13"/>
  <c r="K186" i="13"/>
  <c r="M222" i="13"/>
  <c r="M312" i="13"/>
  <c r="P312" i="13" s="1"/>
  <c r="O457" i="13"/>
  <c r="O553" i="13"/>
  <c r="O584" i="13"/>
  <c r="L122" i="14"/>
  <c r="L120" i="14" s="1"/>
  <c r="O120" i="14" s="1"/>
  <c r="P224" i="14"/>
  <c r="K235" i="14"/>
  <c r="L254" i="14"/>
  <c r="L252" i="14" s="1"/>
  <c r="L250" i="14" s="1"/>
  <c r="K266" i="14"/>
  <c r="K270" i="14"/>
  <c r="M273" i="14"/>
  <c r="M271" i="14" s="1"/>
  <c r="O601" i="14"/>
  <c r="N292" i="15"/>
  <c r="N290" i="15" s="1"/>
  <c r="O380" i="15"/>
  <c r="O533" i="15"/>
  <c r="K370" i="16"/>
  <c r="O455" i="16"/>
  <c r="K189" i="17"/>
  <c r="N68" i="15"/>
  <c r="P68" i="15" s="1"/>
  <c r="N252" i="15"/>
  <c r="N250" i="15" s="1"/>
  <c r="K455" i="15"/>
  <c r="K597" i="15"/>
  <c r="N222" i="16"/>
  <c r="N220" i="16" s="1"/>
  <c r="K285" i="16"/>
  <c r="K466" i="16"/>
  <c r="K564" i="16"/>
  <c r="L144" i="17"/>
  <c r="O144" i="17" s="1"/>
  <c r="K158" i="17"/>
  <c r="K173" i="17"/>
  <c r="K199" i="17"/>
  <c r="L224" i="17"/>
  <c r="L222" i="17" s="1"/>
  <c r="L220" i="17" s="1"/>
  <c r="N273" i="17"/>
  <c r="N271" i="17" s="1"/>
  <c r="L333" i="17"/>
  <c r="L331" i="17" s="1"/>
  <c r="L329" i="17" s="1"/>
  <c r="K345" i="17"/>
  <c r="N31" i="17"/>
  <c r="N29" i="17" s="1"/>
  <c r="O564" i="17"/>
  <c r="N43" i="18"/>
  <c r="N41" i="18" s="1"/>
  <c r="O351" i="18"/>
  <c r="L31" i="18"/>
  <c r="L29" i="18" s="1"/>
  <c r="O29" i="18" s="1"/>
  <c r="N43" i="21"/>
  <c r="K422" i="14"/>
  <c r="K428" i="14"/>
  <c r="K435" i="14"/>
  <c r="O439" i="14"/>
  <c r="K450" i="14"/>
  <c r="K580" i="14"/>
  <c r="K618" i="14"/>
  <c r="K628" i="14"/>
  <c r="K173" i="15"/>
  <c r="O352" i="15"/>
  <c r="K370" i="15"/>
  <c r="K449" i="15"/>
  <c r="K626" i="15"/>
  <c r="M68" i="16"/>
  <c r="K186" i="16"/>
  <c r="P224" i="16"/>
  <c r="N252" i="16"/>
  <c r="N250" i="16" s="1"/>
  <c r="N312" i="16"/>
  <c r="N310" i="16" s="1"/>
  <c r="P333" i="16"/>
  <c r="K349" i="16"/>
  <c r="I367" i="16"/>
  <c r="K367" i="16" s="1"/>
  <c r="K420" i="16"/>
  <c r="K423" i="16"/>
  <c r="K426" i="16"/>
  <c r="O459" i="16"/>
  <c r="K591" i="16"/>
  <c r="K617" i="16"/>
  <c r="L70" i="17"/>
  <c r="L68" i="17" s="1"/>
  <c r="K84" i="17"/>
  <c r="L314" i="17"/>
  <c r="L312" i="17" s="1"/>
  <c r="K343" i="17"/>
  <c r="K372" i="17"/>
  <c r="K396" i="17"/>
  <c r="K533" i="17"/>
  <c r="O599" i="17"/>
  <c r="N34" i="18"/>
  <c r="N14" i="18" s="1"/>
  <c r="O437" i="18"/>
  <c r="L32" i="18"/>
  <c r="L30" i="18" s="1"/>
  <c r="O584" i="18"/>
  <c r="K612" i="19"/>
  <c r="K614" i="19"/>
  <c r="O582" i="14"/>
  <c r="K64" i="15"/>
  <c r="K80" i="15"/>
  <c r="L98" i="15"/>
  <c r="O98" i="15" s="1"/>
  <c r="K200" i="15"/>
  <c r="K213" i="15"/>
  <c r="P224" i="15"/>
  <c r="K533" i="15"/>
  <c r="K593" i="15"/>
  <c r="P57" i="16"/>
  <c r="N142" i="16"/>
  <c r="N140" i="16" s="1"/>
  <c r="K270" i="16"/>
  <c r="I367" i="17"/>
  <c r="K367" i="17" s="1"/>
  <c r="O459" i="14"/>
  <c r="O537" i="14"/>
  <c r="K614" i="14"/>
  <c r="K81" i="15"/>
  <c r="K138" i="15"/>
  <c r="K377" i="15"/>
  <c r="K497" i="15"/>
  <c r="O535" i="15"/>
  <c r="K573" i="15"/>
  <c r="K591" i="15"/>
  <c r="K631" i="15"/>
  <c r="P144" i="16"/>
  <c r="L224" i="16"/>
  <c r="O224" i="16" s="1"/>
  <c r="K328" i="16"/>
  <c r="K402" i="16"/>
  <c r="K424" i="16"/>
  <c r="K432" i="16"/>
  <c r="K451" i="16"/>
  <c r="O457" i="16"/>
  <c r="K573" i="16"/>
  <c r="K589" i="16"/>
  <c r="K612" i="16"/>
  <c r="K615" i="16"/>
  <c r="K618" i="16"/>
  <c r="L57" i="17"/>
  <c r="O57" i="17" s="1"/>
  <c r="K80" i="17"/>
  <c r="K85" i="17"/>
  <c r="K111" i="17"/>
  <c r="K328" i="17"/>
  <c r="K341" i="17"/>
  <c r="O347" i="17"/>
  <c r="K350" i="17"/>
  <c r="K370" i="17"/>
  <c r="K397" i="17"/>
  <c r="K593" i="17"/>
  <c r="K611" i="17"/>
  <c r="K613" i="17"/>
  <c r="M142" i="18"/>
  <c r="P144" i="18"/>
  <c r="P224" i="18"/>
  <c r="M222" i="18"/>
  <c r="K429" i="18"/>
  <c r="O435" i="17"/>
  <c r="K499" i="17"/>
  <c r="K547" i="17"/>
  <c r="K591" i="17"/>
  <c r="K424" i="18"/>
  <c r="L45" i="19"/>
  <c r="L43" i="19" s="1"/>
  <c r="L41" i="19" s="1"/>
  <c r="K164" i="19"/>
  <c r="K186" i="19"/>
  <c r="M250" i="19"/>
  <c r="P250" i="19" s="1"/>
  <c r="K380" i="19"/>
  <c r="O385" i="19"/>
  <c r="K474" i="19"/>
  <c r="L144" i="20"/>
  <c r="O144" i="20" s="1"/>
  <c r="N33" i="20"/>
  <c r="N13" i="20" s="1"/>
  <c r="K416" i="20"/>
  <c r="K428" i="20"/>
  <c r="K547" i="20"/>
  <c r="K591" i="21"/>
  <c r="K619" i="17"/>
  <c r="L254" i="18"/>
  <c r="O254" i="18" s="1"/>
  <c r="K380" i="18"/>
  <c r="K455" i="18"/>
  <c r="K481" i="18"/>
  <c r="K547" i="18"/>
  <c r="K580" i="18"/>
  <c r="K616" i="18"/>
  <c r="L144" i="19"/>
  <c r="O144" i="19" s="1"/>
  <c r="K417" i="19"/>
  <c r="K423" i="19"/>
  <c r="K429" i="19"/>
  <c r="K426" i="20"/>
  <c r="O102" i="21"/>
  <c r="N120" i="21"/>
  <c r="N118" i="21" s="1"/>
  <c r="K185" i="21"/>
  <c r="K199" i="21"/>
  <c r="K229" i="21"/>
  <c r="O352" i="21"/>
  <c r="I367" i="21"/>
  <c r="K367" i="21" s="1"/>
  <c r="N33" i="21"/>
  <c r="N13" i="21" s="1"/>
  <c r="K396" i="21"/>
  <c r="K421" i="21"/>
  <c r="K464" i="21"/>
  <c r="K589" i="21"/>
  <c r="J651" i="21"/>
  <c r="N68" i="18"/>
  <c r="N66" i="18" s="1"/>
  <c r="K185" i="18"/>
  <c r="N273" i="18"/>
  <c r="N271" i="18" s="1"/>
  <c r="N32" i="18"/>
  <c r="N30" i="18" s="1"/>
  <c r="O385" i="18"/>
  <c r="K473" i="18"/>
  <c r="J671" i="18"/>
  <c r="M120" i="19"/>
  <c r="P120" i="19" s="1"/>
  <c r="P254" i="19"/>
  <c r="K285" i="19"/>
  <c r="L294" i="19"/>
  <c r="O294" i="19" s="1"/>
  <c r="N312" i="19"/>
  <c r="N310" i="19" s="1"/>
  <c r="K340" i="19"/>
  <c r="O354" i="19"/>
  <c r="K372" i="19"/>
  <c r="K418" i="19"/>
  <c r="K424" i="19"/>
  <c r="K430" i="19"/>
  <c r="K481" i="19"/>
  <c r="K133" i="20"/>
  <c r="K340" i="20"/>
  <c r="K343" i="20"/>
  <c r="O349" i="20"/>
  <c r="O352" i="20"/>
  <c r="K424" i="20"/>
  <c r="O580" i="20"/>
  <c r="K591" i="20"/>
  <c r="K597" i="20"/>
  <c r="K629" i="20"/>
  <c r="N273" i="21"/>
  <c r="P273" i="21" s="1"/>
  <c r="K370" i="21"/>
  <c r="K380" i="21"/>
  <c r="O385" i="21"/>
  <c r="K419" i="21"/>
  <c r="K431" i="21"/>
  <c r="K617" i="17"/>
  <c r="L70" i="18"/>
  <c r="O70" i="18" s="1"/>
  <c r="K138" i="18"/>
  <c r="L144" i="18"/>
  <c r="L142" i="18" s="1"/>
  <c r="K164" i="18"/>
  <c r="O580" i="18"/>
  <c r="K533" i="20"/>
  <c r="N32" i="20"/>
  <c r="N30" i="20" s="1"/>
  <c r="J651" i="20"/>
  <c r="K651" i="20" s="1"/>
  <c r="L98" i="18"/>
  <c r="L96" i="18" s="1"/>
  <c r="N120" i="18"/>
  <c r="N118" i="18" s="1"/>
  <c r="M312" i="18"/>
  <c r="P312" i="18" s="1"/>
  <c r="N331" i="18"/>
  <c r="N329" i="18" s="1"/>
  <c r="O383" i="18"/>
  <c r="K423" i="18"/>
  <c r="K426" i="18"/>
  <c r="K612" i="18"/>
  <c r="K628" i="18"/>
  <c r="L57" i="19"/>
  <c r="L55" i="19" s="1"/>
  <c r="K65" i="19"/>
  <c r="K176" i="19"/>
  <c r="K341" i="19"/>
  <c r="O352" i="19"/>
  <c r="I367" i="19"/>
  <c r="K367" i="19" s="1"/>
  <c r="K370" i="19"/>
  <c r="N32" i="19"/>
  <c r="N30" i="19" s="1"/>
  <c r="K533" i="19"/>
  <c r="K597" i="19"/>
  <c r="K628" i="19"/>
  <c r="L31" i="20"/>
  <c r="L11" i="20" s="1"/>
  <c r="K83" i="20"/>
  <c r="P144" i="20"/>
  <c r="K264" i="20"/>
  <c r="K267" i="20"/>
  <c r="L314" i="20"/>
  <c r="O314" i="20" s="1"/>
  <c r="K341" i="20"/>
  <c r="O347" i="20"/>
  <c r="K350" i="20"/>
  <c r="K420" i="20"/>
  <c r="K432" i="20"/>
  <c r="O584" i="20"/>
  <c r="K589" i="20"/>
  <c r="K595" i="20"/>
  <c r="O651" i="20"/>
  <c r="P45" i="21"/>
  <c r="O49" i="21"/>
  <c r="P98" i="21"/>
  <c r="K249" i="21"/>
  <c r="L24" i="21"/>
  <c r="O24" i="21" s="1"/>
  <c r="N292" i="21"/>
  <c r="N290" i="21" s="1"/>
  <c r="O383" i="21"/>
  <c r="K398" i="21"/>
  <c r="K427" i="21"/>
  <c r="O535" i="21"/>
  <c r="K595" i="21"/>
  <c r="K649" i="21"/>
  <c r="M53" i="2"/>
  <c r="L98" i="2"/>
  <c r="O98" i="2" s="1"/>
  <c r="L122" i="2"/>
  <c r="O122" i="2" s="1"/>
  <c r="M142" i="2"/>
  <c r="L144" i="2"/>
  <c r="O144" i="2" s="1"/>
  <c r="M292" i="2"/>
  <c r="M290" i="2" s="1"/>
  <c r="K328" i="2"/>
  <c r="N33" i="2"/>
  <c r="N13" i="2" s="1"/>
  <c r="K376" i="2"/>
  <c r="K435" i="2"/>
  <c r="K464" i="2"/>
  <c r="K482" i="2"/>
  <c r="K614" i="2"/>
  <c r="L24" i="3"/>
  <c r="O24" i="3" s="1"/>
  <c r="M142" i="3"/>
  <c r="J374" i="1"/>
  <c r="I517" i="1"/>
  <c r="I520" i="1"/>
  <c r="I523" i="1"/>
  <c r="I526" i="1"/>
  <c r="I529" i="1"/>
  <c r="I532" i="1"/>
  <c r="J543" i="1"/>
  <c r="J575" i="1"/>
  <c r="K580" i="3"/>
  <c r="O601" i="3"/>
  <c r="K620" i="3"/>
  <c r="K622" i="3"/>
  <c r="K624" i="3"/>
  <c r="L640" i="3"/>
  <c r="L638" i="3" s="1"/>
  <c r="L636" i="3" s="1"/>
  <c r="K665" i="3"/>
  <c r="O49" i="4"/>
  <c r="M220" i="7"/>
  <c r="M250" i="7"/>
  <c r="P250" i="7" s="1"/>
  <c r="P252" i="7"/>
  <c r="P57" i="2"/>
  <c r="K117" i="2"/>
  <c r="K304" i="2"/>
  <c r="K324" i="2"/>
  <c r="P333" i="2"/>
  <c r="K349" i="2"/>
  <c r="O354" i="2"/>
  <c r="O404" i="2"/>
  <c r="O597" i="2"/>
  <c r="K612" i="2"/>
  <c r="K624" i="2"/>
  <c r="K628" i="2"/>
  <c r="K65" i="3"/>
  <c r="L26" i="3"/>
  <c r="L16" i="3" s="1"/>
  <c r="M222" i="3"/>
  <c r="J289" i="1"/>
  <c r="M292" i="3"/>
  <c r="P292" i="3" s="1"/>
  <c r="K345" i="3"/>
  <c r="J361" i="1"/>
  <c r="K375" i="3"/>
  <c r="N32" i="3"/>
  <c r="N30" i="3" s="1"/>
  <c r="O401" i="3"/>
  <c r="N31" i="3"/>
  <c r="N29" i="3" s="1"/>
  <c r="K481" i="3"/>
  <c r="N571" i="1"/>
  <c r="K628" i="3"/>
  <c r="K634" i="3"/>
  <c r="O651" i="3"/>
  <c r="J651" i="3"/>
  <c r="K651" i="3" s="1"/>
  <c r="N22" i="4"/>
  <c r="N279" i="1"/>
  <c r="N460" i="1"/>
  <c r="N602" i="1"/>
  <c r="J609" i="1"/>
  <c r="I367" i="2"/>
  <c r="K367" i="2" s="1"/>
  <c r="K533" i="2"/>
  <c r="K573" i="2"/>
  <c r="K83" i="3"/>
  <c r="K189" i="3"/>
  <c r="N389" i="1"/>
  <c r="J413" i="1"/>
  <c r="L45" i="4"/>
  <c r="O45" i="4" s="1"/>
  <c r="M273" i="2"/>
  <c r="K149" i="3"/>
  <c r="O404" i="3"/>
  <c r="J433" i="1"/>
  <c r="J445" i="1"/>
  <c r="J579" i="1"/>
  <c r="K619" i="3"/>
  <c r="J663" i="1"/>
  <c r="M331" i="8"/>
  <c r="M329" i="8" s="1"/>
  <c r="M96" i="2"/>
  <c r="P96" i="2" s="1"/>
  <c r="M120" i="2"/>
  <c r="K158" i="2"/>
  <c r="O601" i="2"/>
  <c r="K616" i="2"/>
  <c r="K632" i="2"/>
  <c r="N644" i="2"/>
  <c r="N640" i="2" s="1"/>
  <c r="N638" i="2" s="1"/>
  <c r="N636" i="2" s="1"/>
  <c r="O665" i="2"/>
  <c r="P45" i="3"/>
  <c r="J115" i="1"/>
  <c r="N556" i="1"/>
  <c r="J577" i="1"/>
  <c r="J620" i="1"/>
  <c r="J622" i="1"/>
  <c r="J624" i="1"/>
  <c r="J626" i="1"/>
  <c r="J655" i="1"/>
  <c r="J661" i="1"/>
  <c r="J672" i="1"/>
  <c r="L144" i="4"/>
  <c r="O144" i="4" s="1"/>
  <c r="J400" i="1"/>
  <c r="K423" i="4"/>
  <c r="P57" i="5"/>
  <c r="K85" i="5"/>
  <c r="K417" i="5"/>
  <c r="K422" i="5"/>
  <c r="K425" i="5"/>
  <c r="K430" i="5"/>
  <c r="K615" i="5"/>
  <c r="P102" i="6"/>
  <c r="K200" i="6"/>
  <c r="M222" i="6"/>
  <c r="J596" i="1"/>
  <c r="K615" i="6"/>
  <c r="L640" i="6"/>
  <c r="N96" i="7"/>
  <c r="N94" i="7" s="1"/>
  <c r="P254" i="7"/>
  <c r="M273" i="7"/>
  <c r="P273" i="7" s="1"/>
  <c r="M312" i="7"/>
  <c r="K397" i="7"/>
  <c r="K401" i="7"/>
  <c r="O435" i="7"/>
  <c r="K498" i="7"/>
  <c r="K533" i="7"/>
  <c r="O535" i="7"/>
  <c r="O553" i="7"/>
  <c r="O580" i="7"/>
  <c r="O601" i="7"/>
  <c r="K629" i="7"/>
  <c r="K634" i="7"/>
  <c r="O648" i="7"/>
  <c r="K132" i="8"/>
  <c r="K176" i="8"/>
  <c r="M252" i="8"/>
  <c r="M292" i="8"/>
  <c r="P292" i="8" s="1"/>
  <c r="K350" i="8"/>
  <c r="K402" i="8"/>
  <c r="K381" i="9"/>
  <c r="M142" i="4"/>
  <c r="M140" i="4" s="1"/>
  <c r="J369" i="1"/>
  <c r="J435" i="1"/>
  <c r="N441" i="1"/>
  <c r="J448" i="1"/>
  <c r="K498" i="4"/>
  <c r="O537" i="4"/>
  <c r="K65" i="5"/>
  <c r="K110" i="5"/>
  <c r="K219" i="5"/>
  <c r="M250" i="5"/>
  <c r="K341" i="5"/>
  <c r="O347" i="5"/>
  <c r="K497" i="5"/>
  <c r="K613" i="5"/>
  <c r="J232" i="1"/>
  <c r="J236" i="1"/>
  <c r="J241" i="1"/>
  <c r="J246" i="1"/>
  <c r="K264" i="6"/>
  <c r="K267" i="6"/>
  <c r="P294" i="6"/>
  <c r="K309" i="6"/>
  <c r="K372" i="6"/>
  <c r="K426" i="6"/>
  <c r="K431" i="6"/>
  <c r="O439" i="6"/>
  <c r="K450" i="6"/>
  <c r="K547" i="6"/>
  <c r="N644" i="6"/>
  <c r="N640" i="6" s="1"/>
  <c r="N638" i="6" s="1"/>
  <c r="N636" i="6" s="1"/>
  <c r="K108" i="7"/>
  <c r="K350" i="7"/>
  <c r="K449" i="7"/>
  <c r="K464" i="7"/>
  <c r="K474" i="7"/>
  <c r="O551" i="7"/>
  <c r="O599" i="7"/>
  <c r="J651" i="7"/>
  <c r="N43" i="8"/>
  <c r="N41" i="8" s="1"/>
  <c r="N120" i="8"/>
  <c r="N118" i="8" s="1"/>
  <c r="L294" i="8"/>
  <c r="O294" i="8" s="1"/>
  <c r="K376" i="8"/>
  <c r="K430" i="8"/>
  <c r="N33" i="9"/>
  <c r="N13" i="9" s="1"/>
  <c r="P98" i="10"/>
  <c r="O148" i="11"/>
  <c r="M96" i="4"/>
  <c r="O228" i="4"/>
  <c r="L292" i="4"/>
  <c r="O292" i="4" s="1"/>
  <c r="N312" i="4"/>
  <c r="N310" i="4" s="1"/>
  <c r="P333" i="4"/>
  <c r="I367" i="4"/>
  <c r="K367" i="4" s="1"/>
  <c r="O383" i="4"/>
  <c r="K401" i="4"/>
  <c r="K429" i="4"/>
  <c r="O435" i="4"/>
  <c r="K482" i="4"/>
  <c r="K629" i="4"/>
  <c r="K635" i="4"/>
  <c r="J675" i="1"/>
  <c r="N96" i="5"/>
  <c r="N94" i="5" s="1"/>
  <c r="M120" i="5"/>
  <c r="P120" i="5" s="1"/>
  <c r="K149" i="5"/>
  <c r="P254" i="5"/>
  <c r="K265" i="5"/>
  <c r="L316" i="1"/>
  <c r="J322" i="1"/>
  <c r="J326" i="1"/>
  <c r="K370" i="5"/>
  <c r="O385" i="5"/>
  <c r="K402" i="5"/>
  <c r="K428" i="5"/>
  <c r="K611" i="5"/>
  <c r="K633" i="5"/>
  <c r="P45" i="6"/>
  <c r="K92" i="6"/>
  <c r="N142" i="6"/>
  <c r="N140" i="6" s="1"/>
  <c r="K265" i="6"/>
  <c r="L275" i="6"/>
  <c r="O275" i="6" s="1"/>
  <c r="K306" i="6"/>
  <c r="K341" i="6"/>
  <c r="O347" i="6"/>
  <c r="K370" i="6"/>
  <c r="K375" i="6"/>
  <c r="O437" i="6"/>
  <c r="K465" i="6"/>
  <c r="K551" i="6"/>
  <c r="O580" i="6"/>
  <c r="K597" i="6"/>
  <c r="K635" i="6"/>
  <c r="K649" i="6"/>
  <c r="N68" i="7"/>
  <c r="N66" i="7" s="1"/>
  <c r="P98" i="7"/>
  <c r="K149" i="7"/>
  <c r="K368" i="7"/>
  <c r="K426" i="7"/>
  <c r="J452" i="1"/>
  <c r="J469" i="1"/>
  <c r="J479" i="1"/>
  <c r="J491" i="1"/>
  <c r="O533" i="7"/>
  <c r="I613" i="1"/>
  <c r="K117" i="8"/>
  <c r="K249" i="8"/>
  <c r="K349" i="8"/>
  <c r="K401" i="8"/>
  <c r="K416" i="8"/>
  <c r="K428" i="8"/>
  <c r="P314" i="9"/>
  <c r="M312" i="9"/>
  <c r="P312" i="9" s="1"/>
  <c r="L31" i="9"/>
  <c r="L11" i="9" s="1"/>
  <c r="O351" i="9"/>
  <c r="N26" i="11"/>
  <c r="N16" i="11" s="1"/>
  <c r="N43" i="11"/>
  <c r="N41" i="11" s="1"/>
  <c r="P294" i="11"/>
  <c r="M292" i="11"/>
  <c r="P292" i="11" s="1"/>
  <c r="M22" i="4"/>
  <c r="J171" i="1"/>
  <c r="J201" i="1"/>
  <c r="L254" i="4"/>
  <c r="O254" i="4" s="1"/>
  <c r="K270" i="4"/>
  <c r="J576" i="1"/>
  <c r="N581" i="1"/>
  <c r="J613" i="1"/>
  <c r="J619" i="1"/>
  <c r="J625" i="1"/>
  <c r="J632" i="1"/>
  <c r="J647" i="1"/>
  <c r="M68" i="5"/>
  <c r="M66" i="5" s="1"/>
  <c r="O102" i="5"/>
  <c r="K158" i="5"/>
  <c r="P224" i="5"/>
  <c r="P144" i="11"/>
  <c r="M142" i="11"/>
  <c r="L98" i="4"/>
  <c r="J304" i="1"/>
  <c r="J308" i="1"/>
  <c r="P314" i="4"/>
  <c r="L333" i="4"/>
  <c r="O333" i="4" s="1"/>
  <c r="K466" i="4"/>
  <c r="L224" i="5"/>
  <c r="O224" i="5" s="1"/>
  <c r="J262" i="1"/>
  <c r="K266" i="5"/>
  <c r="M292" i="5"/>
  <c r="K381" i="5"/>
  <c r="K419" i="5"/>
  <c r="O437" i="5"/>
  <c r="K481" i="5"/>
  <c r="O599" i="5"/>
  <c r="K619" i="5"/>
  <c r="K629" i="5"/>
  <c r="L24" i="6"/>
  <c r="O24" i="6" s="1"/>
  <c r="K381" i="6"/>
  <c r="K419" i="6"/>
  <c r="K422" i="6"/>
  <c r="K455" i="6"/>
  <c r="O599" i="6"/>
  <c r="K619" i="6"/>
  <c r="K112" i="7"/>
  <c r="K235" i="7"/>
  <c r="K450" i="7"/>
  <c r="K573" i="7"/>
  <c r="P70" i="8"/>
  <c r="P224" i="8"/>
  <c r="K266" i="8"/>
  <c r="P254" i="11"/>
  <c r="M252" i="11"/>
  <c r="N32" i="11"/>
  <c r="N30" i="11" s="1"/>
  <c r="O352" i="11"/>
  <c r="K173" i="4"/>
  <c r="M271" i="4"/>
  <c r="M292" i="4"/>
  <c r="P292" i="4" s="1"/>
  <c r="L314" i="4"/>
  <c r="O314" i="4" s="1"/>
  <c r="K380" i="4"/>
  <c r="K396" i="4"/>
  <c r="O406" i="4"/>
  <c r="K425" i="4"/>
  <c r="K464" i="4"/>
  <c r="O533" i="4"/>
  <c r="K649" i="4"/>
  <c r="K376" i="5"/>
  <c r="K474" i="5"/>
  <c r="K482" i="5"/>
  <c r="O533" i="5"/>
  <c r="O597" i="5"/>
  <c r="K617" i="5"/>
  <c r="N644" i="5"/>
  <c r="N640" i="5" s="1"/>
  <c r="N638" i="5" s="1"/>
  <c r="N636" i="5" s="1"/>
  <c r="N43" i="6"/>
  <c r="N41" i="6" s="1"/>
  <c r="O49" i="6"/>
  <c r="L224" i="6"/>
  <c r="L222" i="6" s="1"/>
  <c r="K229" i="6"/>
  <c r="K270" i="6"/>
  <c r="K380" i="6"/>
  <c r="K396" i="6"/>
  <c r="K425" i="6"/>
  <c r="K449" i="6"/>
  <c r="O533" i="6"/>
  <c r="O551" i="6"/>
  <c r="K591" i="6"/>
  <c r="K617" i="6"/>
  <c r="K629" i="6"/>
  <c r="L45" i="7"/>
  <c r="O45" i="7" s="1"/>
  <c r="K110" i="7"/>
  <c r="P333" i="7"/>
  <c r="K343" i="7"/>
  <c r="K396" i="7"/>
  <c r="K420" i="7"/>
  <c r="K432" i="7"/>
  <c r="O437" i="7"/>
  <c r="K497" i="7"/>
  <c r="O566" i="7"/>
  <c r="K628" i="7"/>
  <c r="N644" i="7"/>
  <c r="N640" i="7" s="1"/>
  <c r="N638" i="7" s="1"/>
  <c r="N636" i="7" s="1"/>
  <c r="L224" i="8"/>
  <c r="L222" i="8" s="1"/>
  <c r="K267" i="8"/>
  <c r="O349" i="8"/>
  <c r="O352" i="8"/>
  <c r="O401" i="8"/>
  <c r="O566" i="8"/>
  <c r="N569" i="1"/>
  <c r="K619" i="8"/>
  <c r="N43" i="9"/>
  <c r="P43" i="9" s="1"/>
  <c r="P45" i="9"/>
  <c r="N55" i="10"/>
  <c r="P55" i="10" s="1"/>
  <c r="P57" i="10"/>
  <c r="N252" i="11"/>
  <c r="N250" i="11" s="1"/>
  <c r="L333" i="11"/>
  <c r="L331" i="11" s="1"/>
  <c r="L23" i="11"/>
  <c r="O23" i="11" s="1"/>
  <c r="K482" i="8"/>
  <c r="O535" i="8"/>
  <c r="N26" i="9"/>
  <c r="N16" i="9" s="1"/>
  <c r="K85" i="9"/>
  <c r="K109" i="9"/>
  <c r="K189" i="9"/>
  <c r="N31" i="9"/>
  <c r="N29" i="9" s="1"/>
  <c r="K499" i="9"/>
  <c r="O568" i="9"/>
  <c r="K87" i="10"/>
  <c r="K92" i="10"/>
  <c r="O98" i="10"/>
  <c r="M252" i="10"/>
  <c r="P252" i="10" s="1"/>
  <c r="M273" i="10"/>
  <c r="M271" i="10" s="1"/>
  <c r="L275" i="10"/>
  <c r="O275" i="10" s="1"/>
  <c r="K328" i="10"/>
  <c r="K372" i="10"/>
  <c r="O380" i="10"/>
  <c r="O383" i="10"/>
  <c r="K417" i="10"/>
  <c r="K422" i="10"/>
  <c r="K425" i="10"/>
  <c r="K430" i="10"/>
  <c r="O459" i="10"/>
  <c r="O537" i="10"/>
  <c r="O582" i="10"/>
  <c r="K611" i="10"/>
  <c r="K623" i="10"/>
  <c r="N644" i="10"/>
  <c r="N640" i="10" s="1"/>
  <c r="N638" i="10" s="1"/>
  <c r="N636" i="10" s="1"/>
  <c r="K173" i="11"/>
  <c r="K199" i="11"/>
  <c r="O533" i="8"/>
  <c r="O580" i="8"/>
  <c r="K617" i="8"/>
  <c r="K629" i="8"/>
  <c r="K649" i="8"/>
  <c r="O665" i="8"/>
  <c r="L24" i="9"/>
  <c r="O24" i="9" s="1"/>
  <c r="K219" i="9"/>
  <c r="K93" i="10"/>
  <c r="K83" i="11"/>
  <c r="K219" i="11"/>
  <c r="K345" i="11"/>
  <c r="N33" i="8"/>
  <c r="N13" i="8" s="1"/>
  <c r="N34" i="8"/>
  <c r="N14" i="8" s="1"/>
  <c r="K112" i="9"/>
  <c r="O349" i="9"/>
  <c r="O352" i="9"/>
  <c r="O380" i="9"/>
  <c r="O406" i="9"/>
  <c r="K497" i="9"/>
  <c r="N644" i="9"/>
  <c r="N640" i="9" s="1"/>
  <c r="N638" i="9" s="1"/>
  <c r="N636" i="9" s="1"/>
  <c r="K199" i="10"/>
  <c r="K270" i="10"/>
  <c r="N331" i="10"/>
  <c r="N329" i="10" s="1"/>
  <c r="K368" i="10"/>
  <c r="K398" i="10"/>
  <c r="O401" i="10"/>
  <c r="O404" i="10"/>
  <c r="K428" i="10"/>
  <c r="N31" i="10"/>
  <c r="N11" i="10" s="1"/>
  <c r="K619" i="10"/>
  <c r="K635" i="10"/>
  <c r="M312" i="11"/>
  <c r="M337" i="11"/>
  <c r="M26" i="11" s="1"/>
  <c r="K349" i="11"/>
  <c r="K623" i="8"/>
  <c r="M41" i="9"/>
  <c r="K81" i="10"/>
  <c r="M222" i="10"/>
  <c r="N33" i="10"/>
  <c r="N13" i="10" s="1"/>
  <c r="K396" i="10"/>
  <c r="K593" i="10"/>
  <c r="M43" i="11"/>
  <c r="M41" i="11" s="1"/>
  <c r="K81" i="11"/>
  <c r="K110" i="11"/>
  <c r="K117" i="11"/>
  <c r="M222" i="11"/>
  <c r="K466" i="8"/>
  <c r="K473" i="8"/>
  <c r="K498" i="8"/>
  <c r="O537" i="8"/>
  <c r="O584" i="8"/>
  <c r="K621" i="8"/>
  <c r="O649" i="8"/>
  <c r="K328" i="9"/>
  <c r="K340" i="9"/>
  <c r="K376" i="9"/>
  <c r="K397" i="9"/>
  <c r="K402" i="9"/>
  <c r="K420" i="9"/>
  <c r="K432" i="9"/>
  <c r="K449" i="9"/>
  <c r="O459" i="9"/>
  <c r="K464" i="9"/>
  <c r="K474" i="9"/>
  <c r="K629" i="9"/>
  <c r="K186" i="10"/>
  <c r="L224" i="10"/>
  <c r="O224" i="10" s="1"/>
  <c r="K402" i="10"/>
  <c r="K419" i="10"/>
  <c r="O437" i="10"/>
  <c r="L31" i="10"/>
  <c r="L11" i="10" s="1"/>
  <c r="K547" i="10"/>
  <c r="K591" i="10"/>
  <c r="K618" i="10"/>
  <c r="K615" i="10"/>
  <c r="K631" i="10"/>
  <c r="N96" i="11"/>
  <c r="N94" i="11" s="1"/>
  <c r="K108" i="11"/>
  <c r="L224" i="11"/>
  <c r="O224" i="11" s="1"/>
  <c r="L314" i="11"/>
  <c r="O314" i="11" s="1"/>
  <c r="K328" i="11"/>
  <c r="O354" i="11"/>
  <c r="K375" i="11"/>
  <c r="N34" i="11"/>
  <c r="N14" i="11" s="1"/>
  <c r="P45" i="13"/>
  <c r="P122" i="14"/>
  <c r="M120" i="14"/>
  <c r="M118" i="14" s="1"/>
  <c r="P118" i="14" s="1"/>
  <c r="O582" i="11"/>
  <c r="K597" i="11"/>
  <c r="K614" i="11"/>
  <c r="J651" i="11"/>
  <c r="N43" i="12"/>
  <c r="N41" i="12" s="1"/>
  <c r="K88" i="12"/>
  <c r="P252" i="12"/>
  <c r="L254" i="12"/>
  <c r="M312" i="12"/>
  <c r="N331" i="12"/>
  <c r="N329" i="12" s="1"/>
  <c r="K380" i="12"/>
  <c r="K398" i="12"/>
  <c r="O568" i="12"/>
  <c r="M66" i="13"/>
  <c r="P66" i="13" s="1"/>
  <c r="M102" i="13"/>
  <c r="M96" i="13" s="1"/>
  <c r="M120" i="13"/>
  <c r="P120" i="13" s="1"/>
  <c r="K201" i="13"/>
  <c r="K270" i="13"/>
  <c r="K349" i="13"/>
  <c r="O383" i="13"/>
  <c r="K425" i="13"/>
  <c r="K464" i="13"/>
  <c r="K560" i="13"/>
  <c r="K589" i="13"/>
  <c r="K597" i="13"/>
  <c r="K633" i="13"/>
  <c r="M43" i="14"/>
  <c r="M41" i="14" s="1"/>
  <c r="O49" i="14"/>
  <c r="M68" i="14"/>
  <c r="K84" i="14"/>
  <c r="K429" i="11"/>
  <c r="K435" i="11"/>
  <c r="O437" i="11"/>
  <c r="K473" i="11"/>
  <c r="K497" i="11"/>
  <c r="K547" i="11"/>
  <c r="K564" i="11"/>
  <c r="O566" i="11"/>
  <c r="K595" i="11"/>
  <c r="L144" i="12"/>
  <c r="O144" i="12" s="1"/>
  <c r="O337" i="12"/>
  <c r="N33" i="12"/>
  <c r="N13" i="12" s="1"/>
  <c r="N644" i="12"/>
  <c r="N640" i="12" s="1"/>
  <c r="N638" i="12" s="1"/>
  <c r="N636" i="12" s="1"/>
  <c r="L333" i="13"/>
  <c r="O333" i="13" s="1"/>
  <c r="K618" i="13"/>
  <c r="N43" i="14"/>
  <c r="N41" i="14" s="1"/>
  <c r="P254" i="14"/>
  <c r="M252" i="14"/>
  <c r="M250" i="14" s="1"/>
  <c r="O404" i="11"/>
  <c r="O564" i="11"/>
  <c r="K593" i="11"/>
  <c r="K612" i="11"/>
  <c r="K618" i="11"/>
  <c r="L294" i="12"/>
  <c r="O294" i="12" s="1"/>
  <c r="K345" i="12"/>
  <c r="K349" i="12"/>
  <c r="O354" i="12"/>
  <c r="K396" i="12"/>
  <c r="O566" i="12"/>
  <c r="K649" i="12"/>
  <c r="J651" i="12"/>
  <c r="N22" i="13"/>
  <c r="K111" i="13"/>
  <c r="K158" i="13"/>
  <c r="K173" i="13"/>
  <c r="K199" i="13"/>
  <c r="M252" i="13"/>
  <c r="P252" i="13" s="1"/>
  <c r="M273" i="13"/>
  <c r="K343" i="13"/>
  <c r="K380" i="13"/>
  <c r="O406" i="13"/>
  <c r="K421" i="13"/>
  <c r="K449" i="13"/>
  <c r="K481" i="13"/>
  <c r="K533" i="13"/>
  <c r="K547" i="13"/>
  <c r="K593" i="13"/>
  <c r="K631" i="13"/>
  <c r="L24" i="14"/>
  <c r="O24" i="14" s="1"/>
  <c r="N273" i="14"/>
  <c r="N271" i="14" s="1"/>
  <c r="M331" i="16"/>
  <c r="M329" i="16" s="1"/>
  <c r="P337" i="16"/>
  <c r="K466" i="11"/>
  <c r="K481" i="11"/>
  <c r="K591" i="11"/>
  <c r="K629" i="11"/>
  <c r="K635" i="11"/>
  <c r="K65" i="12"/>
  <c r="L98" i="12"/>
  <c r="L96" i="12" s="1"/>
  <c r="M331" i="12"/>
  <c r="M329" i="12" s="1"/>
  <c r="K372" i="12"/>
  <c r="K375" i="12"/>
  <c r="O533" i="12"/>
  <c r="K547" i="12"/>
  <c r="K164" i="14"/>
  <c r="K173" i="14"/>
  <c r="K423" i="11"/>
  <c r="K533" i="11"/>
  <c r="K589" i="11"/>
  <c r="K616" i="11"/>
  <c r="N644" i="11"/>
  <c r="N640" i="11" s="1"/>
  <c r="N638" i="11" s="1"/>
  <c r="N636" i="11" s="1"/>
  <c r="N26" i="12"/>
  <c r="K85" i="12"/>
  <c r="K149" i="12"/>
  <c r="K397" i="12"/>
  <c r="K401" i="12"/>
  <c r="O406" i="12"/>
  <c r="O564" i="12"/>
  <c r="K648" i="12"/>
  <c r="O649" i="12"/>
  <c r="L70" i="13"/>
  <c r="L68" i="13" s="1"/>
  <c r="O68" i="13" s="1"/>
  <c r="K93" i="13"/>
  <c r="L224" i="13"/>
  <c r="O352" i="13"/>
  <c r="K372" i="13"/>
  <c r="K402" i="13"/>
  <c r="K417" i="13"/>
  <c r="K429" i="13"/>
  <c r="K482" i="13"/>
  <c r="K499" i="13"/>
  <c r="K564" i="13"/>
  <c r="O566" i="13"/>
  <c r="K591" i="13"/>
  <c r="K632" i="13"/>
  <c r="K200" i="14"/>
  <c r="K328" i="14"/>
  <c r="M337" i="14"/>
  <c r="M26" i="14" s="1"/>
  <c r="K340" i="14"/>
  <c r="K380" i="14"/>
  <c r="O385" i="14"/>
  <c r="K402" i="14"/>
  <c r="K419" i="14"/>
  <c r="K425" i="14"/>
  <c r="K431" i="14"/>
  <c r="K589" i="14"/>
  <c r="K595" i="14"/>
  <c r="K622" i="14"/>
  <c r="M55" i="15"/>
  <c r="K614" i="15"/>
  <c r="J651" i="15"/>
  <c r="P45" i="16"/>
  <c r="M252" i="16"/>
  <c r="P252" i="16" s="1"/>
  <c r="N273" i="16"/>
  <c r="N271" i="16" s="1"/>
  <c r="M312" i="16"/>
  <c r="P312" i="16" s="1"/>
  <c r="L314" i="16"/>
  <c r="O314" i="16" s="1"/>
  <c r="O337" i="16"/>
  <c r="K340" i="16"/>
  <c r="O406" i="16"/>
  <c r="K464" i="16"/>
  <c r="K628" i="16"/>
  <c r="K634" i="16"/>
  <c r="P292" i="17"/>
  <c r="M290" i="17"/>
  <c r="P290" i="17" s="1"/>
  <c r="K81" i="14"/>
  <c r="P144" i="14"/>
  <c r="K229" i="14"/>
  <c r="N26" i="14"/>
  <c r="N16" i="14" s="1"/>
  <c r="K341" i="14"/>
  <c r="K349" i="14"/>
  <c r="O380" i="14"/>
  <c r="K420" i="14"/>
  <c r="K426" i="14"/>
  <c r="K432" i="14"/>
  <c r="K473" i="14"/>
  <c r="K620" i="14"/>
  <c r="K93" i="15"/>
  <c r="K113" i="15"/>
  <c r="M142" i="15"/>
  <c r="K158" i="15"/>
  <c r="K350" i="15"/>
  <c r="K376" i="15"/>
  <c r="K435" i="15"/>
  <c r="K464" i="15"/>
  <c r="K482" i="15"/>
  <c r="K564" i="15"/>
  <c r="K624" i="15"/>
  <c r="K628" i="15"/>
  <c r="L26" i="16"/>
  <c r="L16" i="16" s="1"/>
  <c r="N96" i="16"/>
  <c r="N94" i="16" s="1"/>
  <c r="M120" i="16"/>
  <c r="K189" i="16"/>
  <c r="K199" i="16"/>
  <c r="K219" i="16"/>
  <c r="L275" i="16"/>
  <c r="L273" i="16" s="1"/>
  <c r="L333" i="16"/>
  <c r="L331" i="16" s="1"/>
  <c r="K368" i="16"/>
  <c r="O404" i="16"/>
  <c r="K427" i="16"/>
  <c r="K435" i="16"/>
  <c r="K593" i="16"/>
  <c r="K629" i="16"/>
  <c r="O349" i="14"/>
  <c r="K481" i="14"/>
  <c r="L144" i="15"/>
  <c r="O144" i="15" s="1"/>
  <c r="K219" i="15"/>
  <c r="M273" i="15"/>
  <c r="P273" i="15" s="1"/>
  <c r="M312" i="15"/>
  <c r="P312" i="15" s="1"/>
  <c r="K328" i="15"/>
  <c r="K402" i="15"/>
  <c r="O385" i="16"/>
  <c r="K425" i="16"/>
  <c r="K111" i="15"/>
  <c r="K164" i="15"/>
  <c r="K349" i="15"/>
  <c r="K401" i="16"/>
  <c r="K482" i="16"/>
  <c r="K285" i="14"/>
  <c r="O347" i="14"/>
  <c r="K381" i="14"/>
  <c r="O404" i="14"/>
  <c r="K421" i="14"/>
  <c r="K427" i="14"/>
  <c r="K455" i="14"/>
  <c r="K464" i="14"/>
  <c r="K474" i="14"/>
  <c r="K547" i="14"/>
  <c r="K591" i="14"/>
  <c r="K597" i="14"/>
  <c r="K85" i="15"/>
  <c r="K401" i="15"/>
  <c r="O406" i="15"/>
  <c r="K547" i="15"/>
  <c r="K634" i="15"/>
  <c r="L23" i="16"/>
  <c r="M142" i="16"/>
  <c r="K158" i="16"/>
  <c r="K350" i="16"/>
  <c r="K381" i="16"/>
  <c r="K421" i="16"/>
  <c r="K455" i="16"/>
  <c r="K474" i="16"/>
  <c r="K597" i="16"/>
  <c r="K449" i="14"/>
  <c r="K482" i="14"/>
  <c r="K564" i="14"/>
  <c r="K624" i="14"/>
  <c r="L254" i="15"/>
  <c r="O254" i="15" s="1"/>
  <c r="N273" i="15"/>
  <c r="N271" i="15" s="1"/>
  <c r="K498" i="15"/>
  <c r="K533" i="16"/>
  <c r="N31" i="16"/>
  <c r="N29" i="16" s="1"/>
  <c r="N33" i="16"/>
  <c r="N13" i="16" s="1"/>
  <c r="K580" i="16"/>
  <c r="O582" i="16"/>
  <c r="N34" i="16"/>
  <c r="N14" i="16" s="1"/>
  <c r="K113" i="17"/>
  <c r="L122" i="17"/>
  <c r="L120" i="17" s="1"/>
  <c r="P144" i="17"/>
  <c r="K249" i="17"/>
  <c r="P333" i="17"/>
  <c r="K376" i="17"/>
  <c r="K381" i="17"/>
  <c r="K419" i="17"/>
  <c r="K425" i="17"/>
  <c r="K431" i="17"/>
  <c r="K466" i="17"/>
  <c r="O535" i="17"/>
  <c r="K564" i="17"/>
  <c r="O582" i="17"/>
  <c r="K618" i="17"/>
  <c r="K615" i="17"/>
  <c r="K649" i="17"/>
  <c r="N644" i="17"/>
  <c r="N640" i="17" s="1"/>
  <c r="N638" i="17" s="1"/>
  <c r="N636" i="17" s="1"/>
  <c r="P45" i="18"/>
  <c r="M43" i="18"/>
  <c r="M41" i="18" s="1"/>
  <c r="N55" i="18"/>
  <c r="N53" i="18" s="1"/>
  <c r="N26" i="18"/>
  <c r="N16" i="18" s="1"/>
  <c r="K88" i="18"/>
  <c r="M120" i="18"/>
  <c r="K229" i="18"/>
  <c r="K235" i="18"/>
  <c r="K340" i="18"/>
  <c r="K343" i="18"/>
  <c r="O349" i="18"/>
  <c r="K422" i="18"/>
  <c r="O457" i="18"/>
  <c r="O555" i="19"/>
  <c r="L34" i="19"/>
  <c r="K616" i="19"/>
  <c r="N644" i="19"/>
  <c r="N640" i="19" s="1"/>
  <c r="N638" i="19" s="1"/>
  <c r="N636" i="19" s="1"/>
  <c r="N644" i="16"/>
  <c r="N640" i="16" s="1"/>
  <c r="N638" i="16" s="1"/>
  <c r="N636" i="16" s="1"/>
  <c r="K88" i="17"/>
  <c r="K185" i="17"/>
  <c r="M220" i="17"/>
  <c r="L275" i="17"/>
  <c r="O275" i="17" s="1"/>
  <c r="O406" i="17"/>
  <c r="K449" i="17"/>
  <c r="K464" i="17"/>
  <c r="O533" i="17"/>
  <c r="O580" i="17"/>
  <c r="K597" i="17"/>
  <c r="K635" i="17"/>
  <c r="J671" i="17"/>
  <c r="K186" i="18"/>
  <c r="O455" i="18"/>
  <c r="O601" i="18"/>
  <c r="M68" i="20"/>
  <c r="P70" i="20"/>
  <c r="K132" i="17"/>
  <c r="K229" i="17"/>
  <c r="O457" i="17"/>
  <c r="N34" i="17"/>
  <c r="N14" i="17" s="1"/>
  <c r="K474" i="17"/>
  <c r="K498" i="17"/>
  <c r="K595" i="17"/>
  <c r="K633" i="17"/>
  <c r="O649" i="17"/>
  <c r="K64" i="18"/>
  <c r="K149" i="18"/>
  <c r="K158" i="18"/>
  <c r="M252" i="18"/>
  <c r="P252" i="18" s="1"/>
  <c r="O553" i="19"/>
  <c r="L32" i="19"/>
  <c r="L30" i="19" s="1"/>
  <c r="L294" i="17"/>
  <c r="K340" i="17"/>
  <c r="N32" i="17"/>
  <c r="N30" i="17" s="1"/>
  <c r="P294" i="18"/>
  <c r="M292" i="18"/>
  <c r="P292" i="18" s="1"/>
  <c r="K369" i="18"/>
  <c r="I367" i="18"/>
  <c r="K367" i="18" s="1"/>
  <c r="K372" i="18"/>
  <c r="K375" i="18"/>
  <c r="O599" i="18"/>
  <c r="K149" i="19"/>
  <c r="K343" i="19"/>
  <c r="P122" i="20"/>
  <c r="M120" i="20"/>
  <c r="M118" i="20" s="1"/>
  <c r="K189" i="20"/>
  <c r="P57" i="17"/>
  <c r="K64" i="17"/>
  <c r="K164" i="17"/>
  <c r="K186" i="17"/>
  <c r="M312" i="17"/>
  <c r="P312" i="17" s="1"/>
  <c r="O383" i="17"/>
  <c r="K401" i="17"/>
  <c r="K421" i="17"/>
  <c r="K427" i="17"/>
  <c r="K482" i="17"/>
  <c r="P333" i="18"/>
  <c r="M331" i="18"/>
  <c r="M329" i="18" s="1"/>
  <c r="P45" i="20"/>
  <c r="M43" i="20"/>
  <c r="M41" i="20" s="1"/>
  <c r="N55" i="20"/>
  <c r="N53" i="20" s="1"/>
  <c r="N22" i="20"/>
  <c r="N43" i="17"/>
  <c r="N41" i="17" s="1"/>
  <c r="O102" i="17"/>
  <c r="N120" i="17"/>
  <c r="N118" i="17" s="1"/>
  <c r="N252" i="18"/>
  <c r="N250" i="18" s="1"/>
  <c r="M273" i="18"/>
  <c r="P273" i="18" s="1"/>
  <c r="P275" i="20"/>
  <c r="M273" i="20"/>
  <c r="M271" i="20" s="1"/>
  <c r="P294" i="21"/>
  <c r="M292" i="21"/>
  <c r="O49" i="18"/>
  <c r="K82" i="18"/>
  <c r="L122" i="18"/>
  <c r="L120" i="18" s="1"/>
  <c r="K201" i="18"/>
  <c r="K341" i="18"/>
  <c r="O347" i="18"/>
  <c r="K350" i="18"/>
  <c r="K368" i="18"/>
  <c r="K377" i="18"/>
  <c r="K427" i="18"/>
  <c r="K464" i="18"/>
  <c r="K482" i="18"/>
  <c r="K497" i="18"/>
  <c r="K591" i="18"/>
  <c r="K614" i="18"/>
  <c r="K626" i="18"/>
  <c r="K630" i="18"/>
  <c r="K649" i="18"/>
  <c r="M96" i="19"/>
  <c r="P96" i="19" s="1"/>
  <c r="L24" i="19"/>
  <c r="O24" i="19" s="1"/>
  <c r="K158" i="19"/>
  <c r="K173" i="19"/>
  <c r="K199" i="19"/>
  <c r="K270" i="19"/>
  <c r="L314" i="19"/>
  <c r="O314" i="19" s="1"/>
  <c r="K376" i="19"/>
  <c r="K381" i="19"/>
  <c r="O406" i="19"/>
  <c r="K420" i="19"/>
  <c r="K426" i="19"/>
  <c r="K432" i="19"/>
  <c r="K482" i="19"/>
  <c r="K497" i="19"/>
  <c r="K564" i="19"/>
  <c r="O566" i="19"/>
  <c r="L34" i="20"/>
  <c r="L57" i="20"/>
  <c r="O57" i="20" s="1"/>
  <c r="K65" i="20"/>
  <c r="K80" i="20"/>
  <c r="K158" i="20"/>
  <c r="K173" i="20"/>
  <c r="K199" i="20"/>
  <c r="O597" i="20"/>
  <c r="P254" i="21"/>
  <c r="M252" i="21"/>
  <c r="M250" i="21" s="1"/>
  <c r="K372" i="21"/>
  <c r="O584" i="21"/>
  <c r="L34" i="21"/>
  <c r="K402" i="18"/>
  <c r="K465" i="18"/>
  <c r="N33" i="18"/>
  <c r="N13" i="18" s="1"/>
  <c r="K624" i="18"/>
  <c r="K200" i="19"/>
  <c r="P224" i="19"/>
  <c r="O404" i="19"/>
  <c r="K450" i="19"/>
  <c r="O564" i="19"/>
  <c r="K626" i="19"/>
  <c r="K630" i="19"/>
  <c r="L45" i="20"/>
  <c r="L43" i="20" s="1"/>
  <c r="L41" i="20" s="1"/>
  <c r="K81" i="20"/>
  <c r="L24" i="20"/>
  <c r="O24" i="20" s="1"/>
  <c r="L122" i="20"/>
  <c r="L120" i="20" s="1"/>
  <c r="K200" i="20"/>
  <c r="K219" i="20"/>
  <c r="K369" i="20"/>
  <c r="I367" i="20"/>
  <c r="K367" i="20" s="1"/>
  <c r="M96" i="21"/>
  <c r="P102" i="21"/>
  <c r="P144" i="21"/>
  <c r="M142" i="21"/>
  <c r="K397" i="18"/>
  <c r="K551" i="18"/>
  <c r="O568" i="18"/>
  <c r="K573" i="18"/>
  <c r="K622" i="18"/>
  <c r="K648" i="18"/>
  <c r="O649" i="18"/>
  <c r="K64" i="19"/>
  <c r="K624" i="19"/>
  <c r="J651" i="19"/>
  <c r="O353" i="21"/>
  <c r="L33" i="21"/>
  <c r="O33" i="21" s="1"/>
  <c r="K498" i="18"/>
  <c r="K620" i="18"/>
  <c r="N22" i="19"/>
  <c r="K328" i="19"/>
  <c r="O337" i="19"/>
  <c r="K397" i="19"/>
  <c r="K421" i="19"/>
  <c r="K427" i="19"/>
  <c r="K498" i="19"/>
  <c r="K622" i="19"/>
  <c r="N142" i="20"/>
  <c r="P142" i="20" s="1"/>
  <c r="P254" i="20"/>
  <c r="M252" i="20"/>
  <c r="O437" i="20"/>
  <c r="L32" i="20"/>
  <c r="L30" i="20" s="1"/>
  <c r="K200" i="21"/>
  <c r="O406" i="21"/>
  <c r="N34" i="21"/>
  <c r="O352" i="18"/>
  <c r="K370" i="18"/>
  <c r="K376" i="18"/>
  <c r="K381" i="18"/>
  <c r="K419" i="18"/>
  <c r="K431" i="18"/>
  <c r="K435" i="18"/>
  <c r="K449" i="18"/>
  <c r="K466" i="18"/>
  <c r="K499" i="18"/>
  <c r="O564" i="18"/>
  <c r="K595" i="18"/>
  <c r="K618" i="18"/>
  <c r="K634" i="18"/>
  <c r="J651" i="18"/>
  <c r="K80" i="19"/>
  <c r="K88" i="19"/>
  <c r="K185" i="19"/>
  <c r="M220" i="19"/>
  <c r="M337" i="19"/>
  <c r="P337" i="19" s="1"/>
  <c r="K350" i="19"/>
  <c r="O383" i="19"/>
  <c r="K416" i="19"/>
  <c r="K422" i="19"/>
  <c r="K428" i="19"/>
  <c r="K499" i="19"/>
  <c r="K619" i="19"/>
  <c r="K620" i="19"/>
  <c r="L33" i="20"/>
  <c r="O33" i="20" s="1"/>
  <c r="N96" i="20"/>
  <c r="N94" i="20" s="1"/>
  <c r="K185" i="20"/>
  <c r="P224" i="20"/>
  <c r="M222" i="20"/>
  <c r="K235" i="20"/>
  <c r="K265" i="20"/>
  <c r="P294" i="20"/>
  <c r="M292" i="20"/>
  <c r="P292" i="20" s="1"/>
  <c r="O599" i="20"/>
  <c r="O671" i="20"/>
  <c r="L333" i="21"/>
  <c r="L331" i="21" s="1"/>
  <c r="L23" i="21"/>
  <c r="O23" i="21" s="1"/>
  <c r="O380" i="21"/>
  <c r="L31" i="21"/>
  <c r="O456" i="21"/>
  <c r="L254" i="20"/>
  <c r="O254" i="20" s="1"/>
  <c r="K266" i="20"/>
  <c r="K396" i="20"/>
  <c r="K402" i="20"/>
  <c r="K497" i="20"/>
  <c r="O537" i="20"/>
  <c r="O564" i="20"/>
  <c r="K663" i="20"/>
  <c r="N22" i="21"/>
  <c r="N26" i="21"/>
  <c r="N16" i="21" s="1"/>
  <c r="M68" i="21"/>
  <c r="K110" i="21"/>
  <c r="K113" i="21"/>
  <c r="M120" i="21"/>
  <c r="K204" i="21"/>
  <c r="K285" i="21"/>
  <c r="M329" i="21"/>
  <c r="K350" i="21"/>
  <c r="K533" i="21"/>
  <c r="K547" i="21"/>
  <c r="K632" i="21"/>
  <c r="K632" i="20"/>
  <c r="K635" i="20"/>
  <c r="K648" i="20"/>
  <c r="L70" i="21"/>
  <c r="L68" i="21" s="1"/>
  <c r="L122" i="21"/>
  <c r="L120" i="21" s="1"/>
  <c r="O120" i="21" s="1"/>
  <c r="K158" i="21"/>
  <c r="P224" i="21"/>
  <c r="K343" i="21"/>
  <c r="J671" i="21"/>
  <c r="K397" i="20"/>
  <c r="K401" i="20"/>
  <c r="O406" i="20"/>
  <c r="O535" i="20"/>
  <c r="N31" i="21"/>
  <c r="K466" i="21"/>
  <c r="K624" i="21"/>
  <c r="K473" i="20"/>
  <c r="K482" i="20"/>
  <c r="K498" i="20"/>
  <c r="K580" i="20"/>
  <c r="O582" i="20"/>
  <c r="K630" i="20"/>
  <c r="K633" i="20"/>
  <c r="L57" i="21"/>
  <c r="O57" i="21" s="1"/>
  <c r="K164" i="21"/>
  <c r="K189" i="21"/>
  <c r="K219" i="21"/>
  <c r="M222" i="21"/>
  <c r="M220" i="21" s="1"/>
  <c r="K235" i="21"/>
  <c r="L294" i="21"/>
  <c r="L292" i="21" s="1"/>
  <c r="K397" i="21"/>
  <c r="K402" i="21"/>
  <c r="K474" i="21"/>
  <c r="K564" i="21"/>
  <c r="K622" i="21"/>
  <c r="K648" i="21"/>
  <c r="O337" i="20"/>
  <c r="K398" i="20"/>
  <c r="O401" i="20"/>
  <c r="O404" i="20"/>
  <c r="K499" i="20"/>
  <c r="O533" i="20"/>
  <c r="O568" i="20"/>
  <c r="N644" i="20"/>
  <c r="N640" i="20" s="1"/>
  <c r="N638" i="20" s="1"/>
  <c r="N636" i="20" s="1"/>
  <c r="K186" i="21"/>
  <c r="K216" i="21"/>
  <c r="L275" i="21"/>
  <c r="O275" i="21" s="1"/>
  <c r="K497" i="21"/>
  <c r="O564" i="21"/>
  <c r="N32" i="21"/>
  <c r="N30" i="21" s="1"/>
  <c r="L640" i="21"/>
  <c r="L638" i="21" s="1"/>
  <c r="N19" i="1"/>
  <c r="P30" i="1"/>
  <c r="M28" i="1"/>
  <c r="P28" i="1" s="1"/>
  <c r="P21" i="1"/>
  <c r="M11" i="1"/>
  <c r="M19" i="1"/>
  <c r="K108" i="3"/>
  <c r="J108" i="1"/>
  <c r="M271" i="3"/>
  <c r="P272" i="3"/>
  <c r="I380" i="1"/>
  <c r="K380" i="3"/>
  <c r="L385" i="1"/>
  <c r="L34" i="3"/>
  <c r="O385" i="3"/>
  <c r="I589" i="1"/>
  <c r="K589" i="3"/>
  <c r="K635" i="3"/>
  <c r="J635" i="1"/>
  <c r="I671" i="1"/>
  <c r="K671" i="3"/>
  <c r="K185" i="4"/>
  <c r="I185" i="1"/>
  <c r="M15" i="1"/>
  <c r="P15" i="1" s="1"/>
  <c r="L21" i="1"/>
  <c r="P32" i="1"/>
  <c r="I133" i="1"/>
  <c r="K133" i="2"/>
  <c r="M22" i="2"/>
  <c r="P224" i="2"/>
  <c r="K343" i="2"/>
  <c r="I343" i="1"/>
  <c r="O349" i="2"/>
  <c r="L349" i="1"/>
  <c r="O405" i="2"/>
  <c r="L405" i="1"/>
  <c r="O405" i="1" s="1"/>
  <c r="K425" i="2"/>
  <c r="J425" i="1"/>
  <c r="K493" i="2"/>
  <c r="I493" i="1"/>
  <c r="K493" i="1" s="1"/>
  <c r="K503" i="2"/>
  <c r="I503" i="1"/>
  <c r="K503" i="1" s="1"/>
  <c r="K515" i="2"/>
  <c r="I515" i="1"/>
  <c r="K515" i="1" s="1"/>
  <c r="L34" i="2"/>
  <c r="O568" i="2"/>
  <c r="L568" i="1"/>
  <c r="O649" i="2"/>
  <c r="L649" i="1"/>
  <c r="O19" i="3"/>
  <c r="O54" i="3"/>
  <c r="P275" i="3"/>
  <c r="K398" i="3"/>
  <c r="J398" i="1"/>
  <c r="O437" i="3"/>
  <c r="N437" i="1"/>
  <c r="O537" i="3"/>
  <c r="N537" i="1"/>
  <c r="L554" i="1"/>
  <c r="O554" i="1" s="1"/>
  <c r="O554" i="3"/>
  <c r="O582" i="3"/>
  <c r="N582" i="1"/>
  <c r="K612" i="3"/>
  <c r="J612" i="1"/>
  <c r="K618" i="3"/>
  <c r="J618" i="1"/>
  <c r="N536" i="1"/>
  <c r="N33" i="4"/>
  <c r="N13" i="4" s="1"/>
  <c r="O74" i="6"/>
  <c r="L26" i="6"/>
  <c r="K431" i="2"/>
  <c r="J431" i="1"/>
  <c r="K509" i="2"/>
  <c r="I509" i="1"/>
  <c r="K509" i="1" s="1"/>
  <c r="K597" i="2"/>
  <c r="J597" i="1"/>
  <c r="K370" i="3"/>
  <c r="J370" i="1"/>
  <c r="I421" i="1"/>
  <c r="K421" i="3"/>
  <c r="I427" i="1"/>
  <c r="K427" i="3"/>
  <c r="L600" i="1"/>
  <c r="O600" i="1" s="1"/>
  <c r="O600" i="3"/>
  <c r="K629" i="3"/>
  <c r="J629" i="1"/>
  <c r="O21" i="4"/>
  <c r="L19" i="4"/>
  <c r="K580" i="8"/>
  <c r="I580" i="1"/>
  <c r="I186" i="1"/>
  <c r="M272" i="1"/>
  <c r="P272" i="1" s="1"/>
  <c r="N31" i="2"/>
  <c r="L57" i="2"/>
  <c r="L23" i="2"/>
  <c r="N22" i="2"/>
  <c r="N252" i="2"/>
  <c r="P252" i="2" s="1"/>
  <c r="M310" i="2"/>
  <c r="P311" i="2"/>
  <c r="K375" i="2"/>
  <c r="I375" i="1"/>
  <c r="O385" i="2"/>
  <c r="N34" i="2"/>
  <c r="N14" i="2" s="1"/>
  <c r="N385" i="1"/>
  <c r="K423" i="2"/>
  <c r="J423" i="1"/>
  <c r="K455" i="2"/>
  <c r="J455" i="1"/>
  <c r="K469" i="2"/>
  <c r="I469" i="1"/>
  <c r="K469" i="1" s="1"/>
  <c r="K475" i="2"/>
  <c r="I475" i="1"/>
  <c r="K475" i="1" s="1"/>
  <c r="K481" i="2"/>
  <c r="I481" i="1"/>
  <c r="K491" i="2"/>
  <c r="I491" i="1"/>
  <c r="K491" i="1" s="1"/>
  <c r="K501" i="2"/>
  <c r="I501" i="1"/>
  <c r="K501" i="1" s="1"/>
  <c r="K513" i="2"/>
  <c r="I513" i="1"/>
  <c r="K513" i="1" s="1"/>
  <c r="L32" i="2"/>
  <c r="O566" i="2"/>
  <c r="L566" i="1"/>
  <c r="K593" i="2"/>
  <c r="J593" i="1"/>
  <c r="I665" i="1"/>
  <c r="K665" i="2"/>
  <c r="K110" i="3"/>
  <c r="J110" i="1"/>
  <c r="K219" i="3"/>
  <c r="J219" i="1"/>
  <c r="O251" i="3"/>
  <c r="P254" i="3"/>
  <c r="M254" i="1"/>
  <c r="K372" i="3"/>
  <c r="J372" i="1"/>
  <c r="I381" i="1"/>
  <c r="K381" i="3"/>
  <c r="I417" i="1"/>
  <c r="K417" i="3"/>
  <c r="I423" i="1"/>
  <c r="K423" i="3"/>
  <c r="I429" i="1"/>
  <c r="K429" i="3"/>
  <c r="I455" i="1"/>
  <c r="K455" i="3"/>
  <c r="I591" i="1"/>
  <c r="K591" i="3"/>
  <c r="I597" i="1"/>
  <c r="K597" i="3"/>
  <c r="K631" i="3"/>
  <c r="J631" i="1"/>
  <c r="O42" i="4"/>
  <c r="P224" i="4"/>
  <c r="M222" i="4"/>
  <c r="L380" i="1"/>
  <c r="O380" i="4"/>
  <c r="K648" i="5"/>
  <c r="I648" i="1"/>
  <c r="K651" i="5"/>
  <c r="I651" i="1"/>
  <c r="P330" i="6"/>
  <c r="M329" i="6"/>
  <c r="L31" i="6"/>
  <c r="O565" i="6"/>
  <c r="L565" i="1"/>
  <c r="O565" i="1" s="1"/>
  <c r="K650" i="6"/>
  <c r="I650" i="1"/>
  <c r="O19" i="8"/>
  <c r="M250" i="2"/>
  <c r="P251" i="2"/>
  <c r="K419" i="2"/>
  <c r="J419" i="1"/>
  <c r="K467" i="2"/>
  <c r="I467" i="1"/>
  <c r="K467" i="1" s="1"/>
  <c r="K479" i="2"/>
  <c r="I479" i="1"/>
  <c r="K479" i="1" s="1"/>
  <c r="K591" i="2"/>
  <c r="J591" i="1"/>
  <c r="L458" i="1"/>
  <c r="O458" i="1" s="1"/>
  <c r="O458" i="3"/>
  <c r="I595" i="1"/>
  <c r="K595" i="3"/>
  <c r="L671" i="1"/>
  <c r="O671" i="4"/>
  <c r="N61" i="1"/>
  <c r="M222" i="2"/>
  <c r="M220" i="2" s="1"/>
  <c r="K341" i="2"/>
  <c r="I341" i="1"/>
  <c r="O347" i="2"/>
  <c r="L347" i="1"/>
  <c r="O353" i="2"/>
  <c r="L33" i="2"/>
  <c r="O33" i="2" s="1"/>
  <c r="L353" i="1"/>
  <c r="O383" i="2"/>
  <c r="N32" i="2"/>
  <c r="N30" i="2" s="1"/>
  <c r="N383" i="1"/>
  <c r="O403" i="2"/>
  <c r="L403" i="1"/>
  <c r="O403" i="1" s="1"/>
  <c r="K421" i="2"/>
  <c r="J421" i="1"/>
  <c r="K452" i="2"/>
  <c r="I452" i="1"/>
  <c r="K452" i="1" s="1"/>
  <c r="K489" i="2"/>
  <c r="I489" i="1"/>
  <c r="K489" i="1" s="1"/>
  <c r="K499" i="2"/>
  <c r="I499" i="1"/>
  <c r="K511" i="2"/>
  <c r="I511" i="1"/>
  <c r="K511" i="1" s="1"/>
  <c r="O564" i="2"/>
  <c r="L564" i="1"/>
  <c r="L640" i="2"/>
  <c r="O648" i="2"/>
  <c r="L648" i="1"/>
  <c r="J651" i="2"/>
  <c r="J657" i="1"/>
  <c r="J671" i="2"/>
  <c r="J674" i="1"/>
  <c r="O25" i="3"/>
  <c r="L15" i="3"/>
  <c r="O15" i="3" s="1"/>
  <c r="I216" i="1"/>
  <c r="K216" i="3"/>
  <c r="N273" i="3"/>
  <c r="N271" i="3" s="1"/>
  <c r="L33" i="3"/>
  <c r="O33" i="3" s="1"/>
  <c r="K396" i="3"/>
  <c r="J396" i="1"/>
  <c r="O435" i="3"/>
  <c r="N435" i="1"/>
  <c r="O535" i="3"/>
  <c r="N535" i="1"/>
  <c r="L552" i="1"/>
  <c r="O552" i="1" s="1"/>
  <c r="O552" i="3"/>
  <c r="O580" i="3"/>
  <c r="N580" i="1"/>
  <c r="K616" i="3"/>
  <c r="J616" i="1"/>
  <c r="M310" i="4"/>
  <c r="P310" i="4" s="1"/>
  <c r="P311" i="4"/>
  <c r="I432" i="1"/>
  <c r="K432" i="4"/>
  <c r="N330" i="1"/>
  <c r="K478" i="5"/>
  <c r="I478" i="1"/>
  <c r="K478" i="1" s="1"/>
  <c r="K488" i="5"/>
  <c r="I488" i="1"/>
  <c r="K488" i="1" s="1"/>
  <c r="K498" i="5"/>
  <c r="I498" i="1"/>
  <c r="K508" i="5"/>
  <c r="I508" i="1"/>
  <c r="K508" i="1" s="1"/>
  <c r="K564" i="5"/>
  <c r="I564" i="1"/>
  <c r="J149" i="1"/>
  <c r="I215" i="1"/>
  <c r="I264" i="1"/>
  <c r="I266" i="1"/>
  <c r="I342" i="1"/>
  <c r="K342" i="1" s="1"/>
  <c r="O228" i="2"/>
  <c r="P254" i="2"/>
  <c r="K285" i="2"/>
  <c r="J285" i="1"/>
  <c r="O291" i="2"/>
  <c r="L291" i="1"/>
  <c r="O291" i="1" s="1"/>
  <c r="P314" i="2"/>
  <c r="K339" i="2"/>
  <c r="I339" i="1"/>
  <c r="K339" i="1" s="1"/>
  <c r="K345" i="2"/>
  <c r="I345" i="1"/>
  <c r="L31" i="2"/>
  <c r="L11" i="2" s="1"/>
  <c r="O351" i="2"/>
  <c r="L351" i="1"/>
  <c r="K380" i="2"/>
  <c r="J380" i="1"/>
  <c r="O401" i="2"/>
  <c r="L401" i="1"/>
  <c r="K417" i="2"/>
  <c r="J417" i="1"/>
  <c r="K429" i="2"/>
  <c r="J429" i="1"/>
  <c r="K450" i="2"/>
  <c r="I450" i="1"/>
  <c r="K485" i="2"/>
  <c r="I485" i="1"/>
  <c r="K485" i="1" s="1"/>
  <c r="K497" i="2"/>
  <c r="I497" i="1"/>
  <c r="K507" i="2"/>
  <c r="I507" i="1"/>
  <c r="K507" i="1" s="1"/>
  <c r="K561" i="2"/>
  <c r="I561" i="1"/>
  <c r="K561" i="1" s="1"/>
  <c r="M252" i="3"/>
  <c r="M250" i="3" s="1"/>
  <c r="P250" i="3" s="1"/>
  <c r="I285" i="1"/>
  <c r="K285" i="3"/>
  <c r="O311" i="3"/>
  <c r="P314" i="3"/>
  <c r="M314" i="1"/>
  <c r="O439" i="3"/>
  <c r="N439" i="1"/>
  <c r="O533" i="3"/>
  <c r="N533" i="1"/>
  <c r="I551" i="1"/>
  <c r="K551" i="3"/>
  <c r="O584" i="3"/>
  <c r="N584" i="1"/>
  <c r="K614" i="3"/>
  <c r="J614" i="1"/>
  <c r="M28" i="4"/>
  <c r="P28" i="4" s="1"/>
  <c r="P29" i="4"/>
  <c r="L254" i="5"/>
  <c r="L256" i="1"/>
  <c r="L24" i="5"/>
  <c r="K371" i="7"/>
  <c r="I367" i="7"/>
  <c r="K367" i="7" s="1"/>
  <c r="O457" i="7"/>
  <c r="L32" i="7"/>
  <c r="L457" i="1"/>
  <c r="N34" i="7"/>
  <c r="N14" i="7" s="1"/>
  <c r="N459" i="1"/>
  <c r="K484" i="7"/>
  <c r="I484" i="1"/>
  <c r="K484" i="1" s="1"/>
  <c r="K496" i="7"/>
  <c r="I496" i="1"/>
  <c r="K496" i="1" s="1"/>
  <c r="K381" i="2"/>
  <c r="J381" i="1"/>
  <c r="K473" i="2"/>
  <c r="I473" i="1"/>
  <c r="K487" i="2"/>
  <c r="I487" i="1"/>
  <c r="K487" i="1" s="1"/>
  <c r="P122" i="4"/>
  <c r="M120" i="4"/>
  <c r="M122" i="1"/>
  <c r="L15" i="1"/>
  <c r="O15" i="1" s="1"/>
  <c r="N67" i="1"/>
  <c r="L146" i="1"/>
  <c r="P23" i="2"/>
  <c r="M13" i="2"/>
  <c r="P13" i="2" s="1"/>
  <c r="L24" i="2"/>
  <c r="O221" i="2"/>
  <c r="L221" i="1"/>
  <c r="O221" i="1" s="1"/>
  <c r="N26" i="2"/>
  <c r="N16" i="2" s="1"/>
  <c r="K377" i="2"/>
  <c r="I377" i="1"/>
  <c r="K427" i="2"/>
  <c r="J427" i="1"/>
  <c r="K465" i="2"/>
  <c r="I465" i="1"/>
  <c r="K471" i="2"/>
  <c r="I471" i="1"/>
  <c r="K471" i="1" s="1"/>
  <c r="K477" i="2"/>
  <c r="I477" i="1"/>
  <c r="K477" i="1" s="1"/>
  <c r="K483" i="2"/>
  <c r="I483" i="1"/>
  <c r="K483" i="1" s="1"/>
  <c r="K495" i="2"/>
  <c r="I495" i="1"/>
  <c r="K495" i="1" s="1"/>
  <c r="K505" i="2"/>
  <c r="I505" i="1"/>
  <c r="K505" i="1" s="1"/>
  <c r="K589" i="2"/>
  <c r="J589" i="1"/>
  <c r="K595" i="2"/>
  <c r="J595" i="1"/>
  <c r="M13" i="3"/>
  <c r="P13" i="3" s="1"/>
  <c r="N19" i="3"/>
  <c r="M41" i="3"/>
  <c r="P42" i="3"/>
  <c r="N55" i="3"/>
  <c r="N53" i="3" s="1"/>
  <c r="N22" i="3"/>
  <c r="P57" i="3"/>
  <c r="L98" i="3"/>
  <c r="L99" i="1"/>
  <c r="L23" i="3"/>
  <c r="K112" i="3"/>
  <c r="J112" i="1"/>
  <c r="K368" i="3"/>
  <c r="J368" i="1"/>
  <c r="L383" i="1"/>
  <c r="O383" i="3"/>
  <c r="I419" i="1"/>
  <c r="K419" i="3"/>
  <c r="I425" i="1"/>
  <c r="K425" i="3"/>
  <c r="I431" i="1"/>
  <c r="K431" i="3"/>
  <c r="L31" i="3"/>
  <c r="L456" i="1"/>
  <c r="O456" i="1" s="1"/>
  <c r="O456" i="3"/>
  <c r="I593" i="1"/>
  <c r="K593" i="3"/>
  <c r="L598" i="1"/>
  <c r="O598" i="1" s="1"/>
  <c r="O598" i="3"/>
  <c r="K633" i="3"/>
  <c r="J633" i="1"/>
  <c r="O665" i="3"/>
  <c r="N644" i="3"/>
  <c r="N640" i="3" s="1"/>
  <c r="N665" i="1"/>
  <c r="I420" i="1"/>
  <c r="K420" i="4"/>
  <c r="N26" i="5"/>
  <c r="N16" i="5" s="1"/>
  <c r="N68" i="5"/>
  <c r="K88" i="5"/>
  <c r="I88" i="1"/>
  <c r="N95" i="1"/>
  <c r="L26" i="2"/>
  <c r="M28" i="2"/>
  <c r="P28" i="2" s="1"/>
  <c r="M43" i="2"/>
  <c r="M337" i="2"/>
  <c r="M53" i="3"/>
  <c r="M74" i="3"/>
  <c r="M310" i="3"/>
  <c r="P310" i="3" s="1"/>
  <c r="M26" i="4"/>
  <c r="K164" i="4"/>
  <c r="P19" i="5"/>
  <c r="P25" i="5"/>
  <c r="M15" i="5"/>
  <c r="P15" i="5" s="1"/>
  <c r="P34" i="5"/>
  <c r="M14" i="5"/>
  <c r="P14" i="5" s="1"/>
  <c r="P23" i="7"/>
  <c r="M13" i="7"/>
  <c r="P13" i="7" s="1"/>
  <c r="O54" i="7"/>
  <c r="P291" i="8"/>
  <c r="O330" i="8"/>
  <c r="M22" i="12"/>
  <c r="L19" i="2"/>
  <c r="K611" i="2"/>
  <c r="K613" i="2"/>
  <c r="K615" i="2"/>
  <c r="K617" i="2"/>
  <c r="K621" i="2"/>
  <c r="K623" i="2"/>
  <c r="M30" i="3"/>
  <c r="P30" i="3" s="1"/>
  <c r="M102" i="3"/>
  <c r="M337" i="3"/>
  <c r="O353" i="3"/>
  <c r="O648" i="3"/>
  <c r="M19" i="4"/>
  <c r="N26" i="4"/>
  <c r="N16" i="4" s="1"/>
  <c r="O291" i="4"/>
  <c r="N331" i="4"/>
  <c r="N329" i="4" s="1"/>
  <c r="L34" i="4"/>
  <c r="O439" i="4"/>
  <c r="O352" i="5"/>
  <c r="L32" i="5"/>
  <c r="K626" i="5"/>
  <c r="K624" i="5"/>
  <c r="K622" i="5"/>
  <c r="K620" i="5"/>
  <c r="K621" i="5"/>
  <c r="K623" i="5"/>
  <c r="K625" i="5"/>
  <c r="P95" i="6"/>
  <c r="O148" i="6"/>
  <c r="L45" i="8"/>
  <c r="L23" i="8"/>
  <c r="L57" i="8"/>
  <c r="L24" i="8"/>
  <c r="P98" i="8"/>
  <c r="M96" i="8"/>
  <c r="P119" i="8"/>
  <c r="M15" i="3"/>
  <c r="M22" i="3"/>
  <c r="M29" i="3"/>
  <c r="O74" i="3"/>
  <c r="K611" i="3"/>
  <c r="K613" i="3"/>
  <c r="K615" i="3"/>
  <c r="K617" i="3"/>
  <c r="M11" i="4"/>
  <c r="N19" i="4"/>
  <c r="L23" i="4"/>
  <c r="M43" i="4"/>
  <c r="O221" i="4"/>
  <c r="P330" i="4"/>
  <c r="M329" i="4"/>
  <c r="N32" i="4"/>
  <c r="N30" i="4" s="1"/>
  <c r="N31" i="4"/>
  <c r="N29" i="4" s="1"/>
  <c r="L640" i="4"/>
  <c r="N331" i="5"/>
  <c r="N329" i="5" s="1"/>
  <c r="O337" i="5"/>
  <c r="P19" i="7"/>
  <c r="P42" i="7"/>
  <c r="P122" i="7"/>
  <c r="M120" i="7"/>
  <c r="P120" i="7" s="1"/>
  <c r="L31" i="8"/>
  <c r="O581" i="8"/>
  <c r="P98" i="9"/>
  <c r="L15" i="4"/>
  <c r="O15" i="4" s="1"/>
  <c r="O119" i="4"/>
  <c r="P141" i="4"/>
  <c r="K328" i="4"/>
  <c r="K435" i="4"/>
  <c r="L32" i="4"/>
  <c r="O437" i="4"/>
  <c r="K632" i="4"/>
  <c r="J671" i="4"/>
  <c r="O49" i="5"/>
  <c r="L26" i="5"/>
  <c r="M49" i="5"/>
  <c r="L314" i="5"/>
  <c r="M96" i="6"/>
  <c r="N331" i="6"/>
  <c r="N329" i="6" s="1"/>
  <c r="N34" i="6"/>
  <c r="N14" i="6" s="1"/>
  <c r="N33" i="6"/>
  <c r="N13" i="6" s="1"/>
  <c r="K626" i="6"/>
  <c r="K624" i="6"/>
  <c r="K622" i="6"/>
  <c r="K620" i="6"/>
  <c r="K623" i="6"/>
  <c r="K625" i="6"/>
  <c r="P31" i="8"/>
  <c r="M29" i="8"/>
  <c r="M11" i="8"/>
  <c r="P11" i="9"/>
  <c r="N22" i="9"/>
  <c r="P57" i="9"/>
  <c r="N55" i="9"/>
  <c r="P57" i="4"/>
  <c r="M55" i="4"/>
  <c r="P251" i="4"/>
  <c r="K619" i="4"/>
  <c r="K625" i="4"/>
  <c r="K623" i="4"/>
  <c r="K621" i="4"/>
  <c r="K626" i="4"/>
  <c r="K624" i="4"/>
  <c r="K622" i="4"/>
  <c r="K620" i="4"/>
  <c r="P23" i="5"/>
  <c r="M13" i="5"/>
  <c r="P13" i="5" s="1"/>
  <c r="N120" i="5"/>
  <c r="N118" i="5" s="1"/>
  <c r="N22" i="5"/>
  <c r="P11" i="6"/>
  <c r="M9" i="6"/>
  <c r="O67" i="6"/>
  <c r="L98" i="7"/>
  <c r="L23" i="7"/>
  <c r="P122" i="8"/>
  <c r="M120" i="8"/>
  <c r="O148" i="8"/>
  <c r="O25" i="9"/>
  <c r="L15" i="9"/>
  <c r="O15" i="9" s="1"/>
  <c r="L19" i="9"/>
  <c r="P224" i="9"/>
  <c r="M222" i="9"/>
  <c r="O258" i="9"/>
  <c r="P144" i="12"/>
  <c r="M142" i="12"/>
  <c r="N22" i="12"/>
  <c r="N222" i="12"/>
  <c r="P222" i="12" s="1"/>
  <c r="N32" i="5"/>
  <c r="N30" i="5" s="1"/>
  <c r="P23" i="6"/>
  <c r="M13" i="6"/>
  <c r="P13" i="6" s="1"/>
  <c r="O119" i="6"/>
  <c r="M290" i="6"/>
  <c r="L32" i="6"/>
  <c r="O352" i="6"/>
  <c r="K474" i="6"/>
  <c r="K498" i="6"/>
  <c r="K564" i="6"/>
  <c r="K176" i="7"/>
  <c r="P141" i="8"/>
  <c r="L33" i="8"/>
  <c r="O33" i="8" s="1"/>
  <c r="O384" i="8"/>
  <c r="N32" i="8"/>
  <c r="N30" i="8" s="1"/>
  <c r="P254" i="9"/>
  <c r="M252" i="9"/>
  <c r="P252" i="9" s="1"/>
  <c r="P333" i="9"/>
  <c r="M331" i="9"/>
  <c r="P331" i="9" s="1"/>
  <c r="K626" i="9"/>
  <c r="K624" i="9"/>
  <c r="K622" i="9"/>
  <c r="K620" i="9"/>
  <c r="K621" i="9"/>
  <c r="K623" i="9"/>
  <c r="K625" i="9"/>
  <c r="N15" i="10"/>
  <c r="N19" i="10"/>
  <c r="K612" i="4"/>
  <c r="K614" i="4"/>
  <c r="K616" i="4"/>
  <c r="K618" i="4"/>
  <c r="O42" i="5"/>
  <c r="P45" i="5"/>
  <c r="M96" i="5"/>
  <c r="P102" i="5"/>
  <c r="K249" i="5"/>
  <c r="K267" i="5"/>
  <c r="O406" i="5"/>
  <c r="L640" i="5"/>
  <c r="N19" i="6"/>
  <c r="P54" i="6"/>
  <c r="M53" i="6"/>
  <c r="P57" i="6"/>
  <c r="N26" i="6"/>
  <c r="N16" i="6" s="1"/>
  <c r="P70" i="6"/>
  <c r="M22" i="6"/>
  <c r="O102" i="6"/>
  <c r="P141" i="6"/>
  <c r="M140" i="6"/>
  <c r="P144" i="6"/>
  <c r="K560" i="6"/>
  <c r="P24" i="7"/>
  <c r="M14" i="7"/>
  <c r="P14" i="7" s="1"/>
  <c r="O95" i="7"/>
  <c r="K109" i="7"/>
  <c r="N31" i="7"/>
  <c r="K422" i="7"/>
  <c r="K618" i="7"/>
  <c r="K616" i="7"/>
  <c r="K614" i="7"/>
  <c r="K612" i="7"/>
  <c r="K619" i="7"/>
  <c r="K611" i="7"/>
  <c r="K613" i="7"/>
  <c r="N15" i="8"/>
  <c r="N19" i="8"/>
  <c r="O354" i="8"/>
  <c r="L34" i="8"/>
  <c r="P33" i="9"/>
  <c r="M13" i="9"/>
  <c r="P13" i="9" s="1"/>
  <c r="L23" i="9"/>
  <c r="L122" i="9"/>
  <c r="K349" i="5"/>
  <c r="N31" i="5"/>
  <c r="O404" i="5"/>
  <c r="K449" i="5"/>
  <c r="K466" i="5"/>
  <c r="K547" i="5"/>
  <c r="P24" i="6"/>
  <c r="M14" i="6"/>
  <c r="P14" i="6" s="1"/>
  <c r="P31" i="6"/>
  <c r="M29" i="6"/>
  <c r="N22" i="6"/>
  <c r="K350" i="6"/>
  <c r="K401" i="6"/>
  <c r="O406" i="6"/>
  <c r="K466" i="6"/>
  <c r="O49" i="7"/>
  <c r="M49" i="7"/>
  <c r="M43" i="7" s="1"/>
  <c r="L26" i="7"/>
  <c r="O354" i="7"/>
  <c r="L34" i="7"/>
  <c r="O380" i="7"/>
  <c r="M53" i="8"/>
  <c r="K164" i="8"/>
  <c r="O599" i="8"/>
  <c r="P251" i="9"/>
  <c r="O404" i="9"/>
  <c r="L32" i="9"/>
  <c r="K422" i="9"/>
  <c r="O354" i="10"/>
  <c r="L34" i="10"/>
  <c r="M9" i="11"/>
  <c r="P11" i="11"/>
  <c r="K611" i="4"/>
  <c r="K613" i="4"/>
  <c r="K615" i="4"/>
  <c r="K617" i="4"/>
  <c r="M11" i="5"/>
  <c r="L23" i="5"/>
  <c r="O272" i="5"/>
  <c r="M331" i="5"/>
  <c r="P337" i="5"/>
  <c r="K340" i="5"/>
  <c r="O354" i="5"/>
  <c r="K401" i="5"/>
  <c r="K464" i="5"/>
  <c r="K111" i="6"/>
  <c r="P333" i="6"/>
  <c r="K349" i="6"/>
  <c r="O354" i="6"/>
  <c r="L34" i="6"/>
  <c r="K376" i="6"/>
  <c r="O404" i="6"/>
  <c r="K464" i="6"/>
  <c r="K482" i="6"/>
  <c r="L33" i="6"/>
  <c r="O33" i="6" s="1"/>
  <c r="O567" i="6"/>
  <c r="P11" i="7"/>
  <c r="M9" i="7"/>
  <c r="P70" i="7"/>
  <c r="M68" i="7"/>
  <c r="P68" i="7" s="1"/>
  <c r="M22" i="7"/>
  <c r="N120" i="7"/>
  <c r="N118" i="7" s="1"/>
  <c r="K617" i="7"/>
  <c r="P144" i="8"/>
  <c r="M142" i="8"/>
  <c r="P221" i="8"/>
  <c r="M220" i="8"/>
  <c r="K432" i="8"/>
  <c r="K630" i="8"/>
  <c r="P25" i="9"/>
  <c r="M15" i="9"/>
  <c r="P15" i="9" s="1"/>
  <c r="M19" i="9"/>
  <c r="P70" i="9"/>
  <c r="M22" i="9"/>
  <c r="P144" i="9"/>
  <c r="M142" i="9"/>
  <c r="K618" i="9"/>
  <c r="K616" i="9"/>
  <c r="K614" i="9"/>
  <c r="K612" i="9"/>
  <c r="K619" i="9"/>
  <c r="K611" i="9"/>
  <c r="K613" i="9"/>
  <c r="N96" i="10"/>
  <c r="P102" i="10"/>
  <c r="P45" i="7"/>
  <c r="N26" i="7"/>
  <c r="N16" i="7" s="1"/>
  <c r="K173" i="7"/>
  <c r="O337" i="7"/>
  <c r="K418" i="7"/>
  <c r="K430" i="7"/>
  <c r="O555" i="7"/>
  <c r="M13" i="8"/>
  <c r="P13" i="8" s="1"/>
  <c r="P24" i="8"/>
  <c r="M14" i="8"/>
  <c r="P14" i="8" s="1"/>
  <c r="N26" i="8"/>
  <c r="N16" i="8" s="1"/>
  <c r="P32" i="8"/>
  <c r="M30" i="8"/>
  <c r="P30" i="8" s="1"/>
  <c r="L26" i="8"/>
  <c r="O61" i="8"/>
  <c r="K83" i="8"/>
  <c r="O337" i="8"/>
  <c r="P31" i="9"/>
  <c r="M29" i="9"/>
  <c r="O354" i="9"/>
  <c r="L34" i="9"/>
  <c r="L33" i="9"/>
  <c r="O33" i="9" s="1"/>
  <c r="O384" i="9"/>
  <c r="P24" i="10"/>
  <c r="M14" i="10"/>
  <c r="P14" i="10" s="1"/>
  <c r="P31" i="10"/>
  <c r="M11" i="10"/>
  <c r="P45" i="10"/>
  <c r="M43" i="10"/>
  <c r="M22" i="10"/>
  <c r="L24" i="11"/>
  <c r="O279" i="11"/>
  <c r="L26" i="11"/>
  <c r="K612" i="5"/>
  <c r="K614" i="5"/>
  <c r="K616" i="5"/>
  <c r="M49" i="6"/>
  <c r="M66" i="6"/>
  <c r="P66" i="6" s="1"/>
  <c r="K612" i="6"/>
  <c r="K614" i="6"/>
  <c r="K616" i="6"/>
  <c r="P29" i="7"/>
  <c r="M28" i="7"/>
  <c r="P28" i="7" s="1"/>
  <c r="M102" i="7"/>
  <c r="P102" i="7" s="1"/>
  <c r="O54" i="8"/>
  <c r="K81" i="8"/>
  <c r="O95" i="8"/>
  <c r="P333" i="8"/>
  <c r="P337" i="8"/>
  <c r="O380" i="8"/>
  <c r="K426" i="8"/>
  <c r="O455" i="8"/>
  <c r="K618" i="8"/>
  <c r="K616" i="8"/>
  <c r="K614" i="8"/>
  <c r="K612" i="8"/>
  <c r="K615" i="8"/>
  <c r="L640" i="8"/>
  <c r="N644" i="8"/>
  <c r="N640" i="8" s="1"/>
  <c r="N638" i="8" s="1"/>
  <c r="N636" i="8" s="1"/>
  <c r="M53" i="9"/>
  <c r="O95" i="9"/>
  <c r="O330" i="9"/>
  <c r="K416" i="9"/>
  <c r="K428" i="9"/>
  <c r="O457" i="9"/>
  <c r="O601" i="9"/>
  <c r="P272" i="10"/>
  <c r="L314" i="10"/>
  <c r="O352" i="10"/>
  <c r="L32" i="10"/>
  <c r="L19" i="7"/>
  <c r="P54" i="7"/>
  <c r="P67" i="7"/>
  <c r="P95" i="7"/>
  <c r="P119" i="7"/>
  <c r="O384" i="7"/>
  <c r="L33" i="7"/>
  <c r="O33" i="7" s="1"/>
  <c r="O25" i="8"/>
  <c r="L15" i="8"/>
  <c r="O15" i="8" s="1"/>
  <c r="P57" i="8"/>
  <c r="M22" i="8"/>
  <c r="P24" i="9"/>
  <c r="M14" i="9"/>
  <c r="P14" i="9" s="1"/>
  <c r="P32" i="9"/>
  <c r="M30" i="9"/>
  <c r="P30" i="9" s="1"/>
  <c r="L26" i="9"/>
  <c r="O74" i="9"/>
  <c r="O102" i="9"/>
  <c r="M102" i="9"/>
  <c r="P102" i="9" s="1"/>
  <c r="O141" i="9"/>
  <c r="P291" i="9"/>
  <c r="L23" i="10"/>
  <c r="O665" i="10"/>
  <c r="L640" i="10"/>
  <c r="P67" i="11"/>
  <c r="M66" i="11"/>
  <c r="M22" i="11"/>
  <c r="P275" i="11"/>
  <c r="M273" i="11"/>
  <c r="N43" i="7"/>
  <c r="N41" i="7" s="1"/>
  <c r="K92" i="7"/>
  <c r="M142" i="7"/>
  <c r="K200" i="7"/>
  <c r="M331" i="7"/>
  <c r="N33" i="7"/>
  <c r="N13" i="7" s="1"/>
  <c r="L31" i="7"/>
  <c r="O382" i="7"/>
  <c r="K424" i="7"/>
  <c r="O459" i="7"/>
  <c r="O597" i="7"/>
  <c r="P25" i="8"/>
  <c r="M15" i="8"/>
  <c r="P15" i="8" s="1"/>
  <c r="N22" i="8"/>
  <c r="N55" i="8"/>
  <c r="N53" i="8" s="1"/>
  <c r="K200" i="8"/>
  <c r="N331" i="8"/>
  <c r="N329" i="8" s="1"/>
  <c r="K422" i="8"/>
  <c r="O601" i="8"/>
  <c r="K611" i="8"/>
  <c r="P67" i="9"/>
  <c r="M74" i="9"/>
  <c r="P221" i="9"/>
  <c r="M271" i="9"/>
  <c r="K424" i="9"/>
  <c r="O597" i="9"/>
  <c r="M29" i="10"/>
  <c r="O311" i="10"/>
  <c r="M331" i="10"/>
  <c r="M26" i="10"/>
  <c r="P337" i="10"/>
  <c r="P23" i="12"/>
  <c r="M13" i="12"/>
  <c r="P13" i="12" s="1"/>
  <c r="O228" i="14"/>
  <c r="L26" i="14"/>
  <c r="O291" i="14"/>
  <c r="K626" i="10"/>
  <c r="K624" i="10"/>
  <c r="K622" i="10"/>
  <c r="K620" i="10"/>
  <c r="P23" i="11"/>
  <c r="M13" i="11"/>
  <c r="P13" i="11" s="1"/>
  <c r="K80" i="11"/>
  <c r="P102" i="11"/>
  <c r="M96" i="11"/>
  <c r="O383" i="11"/>
  <c r="L32" i="11"/>
  <c r="O21" i="10"/>
  <c r="L19" i="10"/>
  <c r="L24" i="10"/>
  <c r="N22" i="10"/>
  <c r="N26" i="10"/>
  <c r="N16" i="10" s="1"/>
  <c r="O337" i="10"/>
  <c r="K350" i="10"/>
  <c r="K401" i="10"/>
  <c r="O406" i="10"/>
  <c r="K449" i="10"/>
  <c r="P70" i="11"/>
  <c r="N22" i="11"/>
  <c r="P122" i="11"/>
  <c r="K132" i="11"/>
  <c r="K620" i="7"/>
  <c r="K622" i="7"/>
  <c r="K624" i="7"/>
  <c r="K620" i="8"/>
  <c r="K622" i="8"/>
  <c r="K624" i="8"/>
  <c r="P23" i="10"/>
  <c r="M13" i="10"/>
  <c r="P13" i="10" s="1"/>
  <c r="O49" i="10"/>
  <c r="L26" i="10"/>
  <c r="K112" i="10"/>
  <c r="K189" i="10"/>
  <c r="K219" i="10"/>
  <c r="K235" i="10"/>
  <c r="K474" i="10"/>
  <c r="K498" i="10"/>
  <c r="P24" i="11"/>
  <c r="M14" i="11"/>
  <c r="P14" i="11" s="1"/>
  <c r="M29" i="11"/>
  <c r="P31" i="11"/>
  <c r="K64" i="11"/>
  <c r="O272" i="11"/>
  <c r="O598" i="11"/>
  <c r="L31" i="11"/>
  <c r="K626" i="11"/>
  <c r="K624" i="11"/>
  <c r="K622" i="11"/>
  <c r="K620" i="11"/>
  <c r="K625" i="11"/>
  <c r="K623" i="11"/>
  <c r="K621" i="11"/>
  <c r="L23" i="12"/>
  <c r="L57" i="12"/>
  <c r="K369" i="13"/>
  <c r="I367" i="13"/>
  <c r="K367" i="13" s="1"/>
  <c r="O568" i="13"/>
  <c r="L34" i="13"/>
  <c r="O251" i="10"/>
  <c r="N34" i="10"/>
  <c r="N14" i="10" s="1"/>
  <c r="K466" i="10"/>
  <c r="K564" i="10"/>
  <c r="K82" i="11"/>
  <c r="K88" i="11"/>
  <c r="O537" i="11"/>
  <c r="L34" i="11"/>
  <c r="M43" i="12"/>
  <c r="P45" i="12"/>
  <c r="N31" i="14"/>
  <c r="L34" i="14"/>
  <c r="L33" i="10"/>
  <c r="O33" i="10" s="1"/>
  <c r="K612" i="10"/>
  <c r="K614" i="10"/>
  <c r="K616" i="10"/>
  <c r="K368" i="11"/>
  <c r="K396" i="11"/>
  <c r="O535" i="11"/>
  <c r="O580" i="11"/>
  <c r="L24" i="12"/>
  <c r="O438" i="12"/>
  <c r="L33" i="12"/>
  <c r="O33" i="12" s="1"/>
  <c r="K449" i="12"/>
  <c r="K466" i="12"/>
  <c r="K481" i="12"/>
  <c r="K499" i="12"/>
  <c r="O456" i="10"/>
  <c r="L640" i="11"/>
  <c r="M28" i="12"/>
  <c r="P28" i="12" s="1"/>
  <c r="P29" i="12"/>
  <c r="L26" i="12"/>
  <c r="O49" i="12"/>
  <c r="O15" i="13"/>
  <c r="O74" i="13"/>
  <c r="L26" i="13"/>
  <c r="P141" i="13"/>
  <c r="M140" i="13"/>
  <c r="K372" i="11"/>
  <c r="O533" i="11"/>
  <c r="O584" i="11"/>
  <c r="L45" i="12"/>
  <c r="K376" i="12"/>
  <c r="L19" i="13"/>
  <c r="O25" i="13"/>
  <c r="P95" i="13"/>
  <c r="O439" i="11"/>
  <c r="K631" i="11"/>
  <c r="O21" i="12"/>
  <c r="L19" i="12"/>
  <c r="O351" i="12"/>
  <c r="L31" i="12"/>
  <c r="L11" i="12" s="1"/>
  <c r="M55" i="12"/>
  <c r="K340" i="12"/>
  <c r="K343" i="12"/>
  <c r="O349" i="12"/>
  <c r="O352" i="12"/>
  <c r="I367" i="12"/>
  <c r="K367" i="12" s="1"/>
  <c r="O401" i="12"/>
  <c r="O404" i="12"/>
  <c r="L24" i="13"/>
  <c r="M53" i="13"/>
  <c r="K109" i="13"/>
  <c r="K164" i="13"/>
  <c r="L31" i="14"/>
  <c r="O403" i="14"/>
  <c r="O648" i="11"/>
  <c r="M19" i="12"/>
  <c r="J671" i="12"/>
  <c r="P49" i="13"/>
  <c r="M43" i="13"/>
  <c r="P333" i="14"/>
  <c r="N22" i="14"/>
  <c r="N331" i="14"/>
  <c r="N329" i="14" s="1"/>
  <c r="K611" i="11"/>
  <c r="K613" i="11"/>
  <c r="K615" i="11"/>
  <c r="K617" i="11"/>
  <c r="M11" i="12"/>
  <c r="M220" i="12"/>
  <c r="P224" i="12"/>
  <c r="K229" i="12"/>
  <c r="K341" i="12"/>
  <c r="O347" i="12"/>
  <c r="K350" i="12"/>
  <c r="K402" i="12"/>
  <c r="O648" i="12"/>
  <c r="L640" i="12"/>
  <c r="O665" i="12"/>
  <c r="O49" i="13"/>
  <c r="N26" i="13"/>
  <c r="N16" i="13" s="1"/>
  <c r="P54" i="13"/>
  <c r="L23" i="13"/>
  <c r="L275" i="13"/>
  <c r="P294" i="13"/>
  <c r="M292" i="13"/>
  <c r="K619" i="12"/>
  <c r="K617" i="12"/>
  <c r="K615" i="12"/>
  <c r="K613" i="12"/>
  <c r="K611" i="12"/>
  <c r="K618" i="12"/>
  <c r="K616" i="12"/>
  <c r="K614" i="12"/>
  <c r="K612" i="12"/>
  <c r="K625" i="12"/>
  <c r="K623" i="12"/>
  <c r="K621" i="12"/>
  <c r="K626" i="12"/>
  <c r="K624" i="12"/>
  <c r="K622" i="12"/>
  <c r="K620" i="12"/>
  <c r="P70" i="13"/>
  <c r="M22" i="13"/>
  <c r="O119" i="13"/>
  <c r="K625" i="13"/>
  <c r="K623" i="13"/>
  <c r="K621" i="13"/>
  <c r="K626" i="13"/>
  <c r="K620" i="13"/>
  <c r="K622" i="13"/>
  <c r="M9" i="13"/>
  <c r="M29" i="13"/>
  <c r="P57" i="13"/>
  <c r="O221" i="13"/>
  <c r="P251" i="13"/>
  <c r="L640" i="13"/>
  <c r="P19" i="14"/>
  <c r="P21" i="14"/>
  <c r="M11" i="14"/>
  <c r="P23" i="14"/>
  <c r="M13" i="14"/>
  <c r="P13" i="14" s="1"/>
  <c r="L23" i="14"/>
  <c r="L57" i="14"/>
  <c r="O67" i="14"/>
  <c r="N142" i="14"/>
  <c r="P251" i="14"/>
  <c r="N34" i="14"/>
  <c r="N14" i="14" s="1"/>
  <c r="L32" i="14"/>
  <c r="O457" i="14"/>
  <c r="L640" i="14"/>
  <c r="P33" i="15"/>
  <c r="M13" i="15"/>
  <c r="P13" i="15" s="1"/>
  <c r="O291" i="13"/>
  <c r="P311" i="13"/>
  <c r="K619" i="13"/>
  <c r="O42" i="14"/>
  <c r="P95" i="14"/>
  <c r="O119" i="14"/>
  <c r="M140" i="14"/>
  <c r="P141" i="14"/>
  <c r="N32" i="14"/>
  <c r="N30" i="14" s="1"/>
  <c r="P45" i="17"/>
  <c r="M22" i="17"/>
  <c r="K328" i="13"/>
  <c r="K401" i="13"/>
  <c r="K435" i="13"/>
  <c r="K634" i="13"/>
  <c r="O648" i="13"/>
  <c r="P25" i="14"/>
  <c r="M15" i="14"/>
  <c r="P15" i="14" s="1"/>
  <c r="P49" i="14"/>
  <c r="M222" i="14"/>
  <c r="P311" i="14"/>
  <c r="K573" i="14"/>
  <c r="K619" i="14"/>
  <c r="O648" i="14"/>
  <c r="P49" i="16"/>
  <c r="M43" i="16"/>
  <c r="M26" i="16"/>
  <c r="P54" i="14"/>
  <c r="M55" i="14"/>
  <c r="P57" i="14"/>
  <c r="M22" i="14"/>
  <c r="P330" i="14"/>
  <c r="K397" i="14"/>
  <c r="K634" i="14"/>
  <c r="O25" i="15"/>
  <c r="L19" i="15"/>
  <c r="L15" i="15"/>
  <c r="O15" i="15" s="1"/>
  <c r="O42" i="16"/>
  <c r="O354" i="13"/>
  <c r="K376" i="13"/>
  <c r="K466" i="13"/>
  <c r="K630" i="13"/>
  <c r="P45" i="14"/>
  <c r="O221" i="14"/>
  <c r="K533" i="14"/>
  <c r="K632" i="14"/>
  <c r="O272" i="16"/>
  <c r="P42" i="15"/>
  <c r="L24" i="15"/>
  <c r="P272" i="15"/>
  <c r="N31" i="15"/>
  <c r="K616" i="15"/>
  <c r="O19" i="16"/>
  <c r="L24" i="16"/>
  <c r="P275" i="16"/>
  <c r="M22" i="16"/>
  <c r="M273" i="16"/>
  <c r="N32" i="16"/>
  <c r="N30" i="16" s="1"/>
  <c r="P98" i="17"/>
  <c r="N96" i="17"/>
  <c r="O119" i="17"/>
  <c r="P330" i="17"/>
  <c r="O382" i="19"/>
  <c r="L31" i="19"/>
  <c r="O352" i="14"/>
  <c r="O354" i="14"/>
  <c r="N22" i="15"/>
  <c r="L26" i="15"/>
  <c r="L33" i="15"/>
  <c r="O33" i="15" s="1"/>
  <c r="N26" i="15"/>
  <c r="N16" i="15" s="1"/>
  <c r="L57" i="15"/>
  <c r="K112" i="15"/>
  <c r="M22" i="15"/>
  <c r="P254" i="15"/>
  <c r="K343" i="15"/>
  <c r="O349" i="15"/>
  <c r="I367" i="15"/>
  <c r="K367" i="15" s="1"/>
  <c r="K465" i="15"/>
  <c r="L32" i="16"/>
  <c r="L57" i="16"/>
  <c r="O311" i="16"/>
  <c r="P119" i="17"/>
  <c r="N22" i="17"/>
  <c r="N68" i="17"/>
  <c r="P68" i="17" s="1"/>
  <c r="M43" i="15"/>
  <c r="K110" i="15"/>
  <c r="K204" i="15"/>
  <c r="K235" i="15"/>
  <c r="M250" i="15"/>
  <c r="K341" i="15"/>
  <c r="O347" i="15"/>
  <c r="O401" i="15"/>
  <c r="K481" i="15"/>
  <c r="L640" i="15"/>
  <c r="O648" i="15"/>
  <c r="M13" i="16"/>
  <c r="P13" i="16" s="1"/>
  <c r="O25" i="16"/>
  <c r="L15" i="16"/>
  <c r="O15" i="16" s="1"/>
  <c r="P42" i="16"/>
  <c r="O49" i="16"/>
  <c r="N26" i="16"/>
  <c r="N16" i="16" s="1"/>
  <c r="P272" i="16"/>
  <c r="K372" i="16"/>
  <c r="L31" i="17"/>
  <c r="L11" i="17" s="1"/>
  <c r="O382" i="17"/>
  <c r="K420" i="17"/>
  <c r="K426" i="17"/>
  <c r="K432" i="17"/>
  <c r="O459" i="17"/>
  <c r="O311" i="15"/>
  <c r="N33" i="15"/>
  <c r="N13" i="15" s="1"/>
  <c r="L34" i="15"/>
  <c r="O568" i="15"/>
  <c r="K619" i="15"/>
  <c r="K617" i="15"/>
  <c r="K615" i="15"/>
  <c r="K613" i="15"/>
  <c r="K611" i="15"/>
  <c r="P21" i="16"/>
  <c r="M11" i="16"/>
  <c r="M19" i="16"/>
  <c r="O598" i="16"/>
  <c r="L31" i="16"/>
  <c r="K625" i="16"/>
  <c r="K623" i="16"/>
  <c r="K621" i="16"/>
  <c r="K626" i="16"/>
  <c r="K624" i="16"/>
  <c r="K622" i="16"/>
  <c r="K620" i="16"/>
  <c r="P67" i="17"/>
  <c r="M66" i="17"/>
  <c r="M96" i="17"/>
  <c r="P102" i="17"/>
  <c r="P122" i="17"/>
  <c r="M120" i="17"/>
  <c r="O354" i="17"/>
  <c r="L34" i="17"/>
  <c r="K611" i="13"/>
  <c r="K613" i="13"/>
  <c r="K615" i="13"/>
  <c r="K617" i="13"/>
  <c r="K611" i="14"/>
  <c r="K613" i="14"/>
  <c r="K615" i="14"/>
  <c r="K617" i="14"/>
  <c r="K621" i="14"/>
  <c r="K623" i="14"/>
  <c r="P21" i="15"/>
  <c r="M19" i="15"/>
  <c r="O49" i="15"/>
  <c r="L23" i="15"/>
  <c r="K108" i="15"/>
  <c r="K149" i="15"/>
  <c r="O251" i="15"/>
  <c r="K345" i="15"/>
  <c r="O351" i="15"/>
  <c r="L31" i="15"/>
  <c r="N32" i="15"/>
  <c r="N30" i="15" s="1"/>
  <c r="K450" i="15"/>
  <c r="K473" i="15"/>
  <c r="O566" i="15"/>
  <c r="K618" i="15"/>
  <c r="N19" i="16"/>
  <c r="O437" i="16"/>
  <c r="K631" i="16"/>
  <c r="L640" i="16"/>
  <c r="O665" i="16"/>
  <c r="M9" i="17"/>
  <c r="O21" i="17"/>
  <c r="L19" i="17"/>
  <c r="P23" i="17"/>
  <c r="M13" i="17"/>
  <c r="P13" i="17" s="1"/>
  <c r="M53" i="17"/>
  <c r="O352" i="17"/>
  <c r="L32" i="17"/>
  <c r="O380" i="17"/>
  <c r="K418" i="17"/>
  <c r="K424" i="17"/>
  <c r="K430" i="17"/>
  <c r="O455" i="17"/>
  <c r="K621" i="15"/>
  <c r="K623" i="15"/>
  <c r="M55" i="16"/>
  <c r="K149" i="16"/>
  <c r="K235" i="16"/>
  <c r="P29" i="17"/>
  <c r="M28" i="17"/>
  <c r="P28" i="17" s="1"/>
  <c r="K92" i="17"/>
  <c r="K200" i="17"/>
  <c r="M331" i="17"/>
  <c r="P337" i="17"/>
  <c r="M30" i="15"/>
  <c r="M220" i="15"/>
  <c r="L24" i="17"/>
  <c r="N26" i="17"/>
  <c r="N16" i="17" s="1"/>
  <c r="O384" i="17"/>
  <c r="L33" i="17"/>
  <c r="O33" i="17" s="1"/>
  <c r="K625" i="17"/>
  <c r="K623" i="17"/>
  <c r="K621" i="17"/>
  <c r="K626" i="17"/>
  <c r="K624" i="17"/>
  <c r="K622" i="17"/>
  <c r="K620" i="17"/>
  <c r="L640" i="17"/>
  <c r="O665" i="17"/>
  <c r="P19" i="18"/>
  <c r="P70" i="18"/>
  <c r="M22" i="18"/>
  <c r="M68" i="18"/>
  <c r="O251" i="16"/>
  <c r="K398" i="16"/>
  <c r="O439" i="16"/>
  <c r="O535" i="16"/>
  <c r="O584" i="16"/>
  <c r="K635" i="16"/>
  <c r="O49" i="17"/>
  <c r="M49" i="17"/>
  <c r="M43" i="17" s="1"/>
  <c r="L26" i="17"/>
  <c r="P70" i="17"/>
  <c r="L23" i="17"/>
  <c r="L254" i="17"/>
  <c r="N331" i="17"/>
  <c r="N33" i="17"/>
  <c r="N13" i="17" s="1"/>
  <c r="P54" i="18"/>
  <c r="M53" i="18"/>
  <c r="O279" i="18"/>
  <c r="O405" i="18"/>
  <c r="L33" i="18"/>
  <c r="O33" i="18" s="1"/>
  <c r="P141" i="19"/>
  <c r="M140" i="19"/>
  <c r="O272" i="18"/>
  <c r="N142" i="19"/>
  <c r="P142" i="19" s="1"/>
  <c r="M220" i="16"/>
  <c r="O74" i="18"/>
  <c r="L26" i="18"/>
  <c r="L23" i="18"/>
  <c r="L224" i="18"/>
  <c r="P23" i="18"/>
  <c r="M13" i="18"/>
  <c r="P13" i="18" s="1"/>
  <c r="L24" i="18"/>
  <c r="O67" i="18"/>
  <c r="P95" i="18"/>
  <c r="M9" i="18"/>
  <c r="M29" i="18"/>
  <c r="P57" i="18"/>
  <c r="P337" i="18"/>
  <c r="P144" i="19"/>
  <c r="N331" i="19"/>
  <c r="N26" i="20"/>
  <c r="N16" i="20" s="1"/>
  <c r="O119" i="20"/>
  <c r="K612" i="17"/>
  <c r="K614" i="17"/>
  <c r="K616" i="17"/>
  <c r="M14" i="18"/>
  <c r="P14" i="18" s="1"/>
  <c r="P21" i="19"/>
  <c r="M11" i="19"/>
  <c r="M19" i="19"/>
  <c r="O119" i="19"/>
  <c r="L19" i="18"/>
  <c r="O337" i="18"/>
  <c r="N26" i="19"/>
  <c r="N16" i="19" s="1"/>
  <c r="N31" i="19"/>
  <c r="N29" i="19" s="1"/>
  <c r="N33" i="19"/>
  <c r="N13" i="19" s="1"/>
  <c r="K345" i="18"/>
  <c r="K349" i="18"/>
  <c r="O354" i="18"/>
  <c r="L640" i="18"/>
  <c r="O648" i="18"/>
  <c r="L26" i="19"/>
  <c r="O42" i="19"/>
  <c r="P45" i="19"/>
  <c r="L98" i="19"/>
  <c r="P330" i="19"/>
  <c r="P333" i="19"/>
  <c r="N43" i="19"/>
  <c r="N41" i="19" s="1"/>
  <c r="M22" i="19"/>
  <c r="P57" i="19"/>
  <c r="M55" i="19"/>
  <c r="L23" i="19"/>
  <c r="L70" i="19"/>
  <c r="P21" i="20"/>
  <c r="M11" i="20"/>
  <c r="M19" i="20"/>
  <c r="O61" i="20"/>
  <c r="L26" i="20"/>
  <c r="O221" i="19"/>
  <c r="P251" i="19"/>
  <c r="M41" i="19"/>
  <c r="K465" i="19"/>
  <c r="O42" i="20"/>
  <c r="N43" i="20"/>
  <c r="M22" i="20"/>
  <c r="P57" i="20"/>
  <c r="M55" i="20"/>
  <c r="L23" i="20"/>
  <c r="L70" i="20"/>
  <c r="L98" i="20"/>
  <c r="K611" i="18"/>
  <c r="K613" i="18"/>
  <c r="K615" i="18"/>
  <c r="K617" i="18"/>
  <c r="K621" i="18"/>
  <c r="K623" i="18"/>
  <c r="N19" i="19"/>
  <c r="L15" i="19"/>
  <c r="O15" i="19" s="1"/>
  <c r="L640" i="19"/>
  <c r="O648" i="19"/>
  <c r="P141" i="20"/>
  <c r="M140" i="20"/>
  <c r="K611" i="19"/>
  <c r="K613" i="19"/>
  <c r="K615" i="19"/>
  <c r="K617" i="19"/>
  <c r="K621" i="19"/>
  <c r="K623" i="19"/>
  <c r="N19" i="20"/>
  <c r="M94" i="20"/>
  <c r="P94" i="20" s="1"/>
  <c r="O279" i="20"/>
  <c r="O272" i="20"/>
  <c r="K229" i="20"/>
  <c r="M13" i="21"/>
  <c r="P13" i="21" s="1"/>
  <c r="P30" i="21"/>
  <c r="N644" i="21"/>
  <c r="N640" i="21" s="1"/>
  <c r="N638" i="21" s="1"/>
  <c r="N636" i="21" s="1"/>
  <c r="M337" i="20"/>
  <c r="O648" i="20"/>
  <c r="O311" i="21"/>
  <c r="O318" i="21"/>
  <c r="K619" i="21"/>
  <c r="K617" i="21"/>
  <c r="K615" i="21"/>
  <c r="K613" i="21"/>
  <c r="K611" i="21"/>
  <c r="K618" i="21"/>
  <c r="K616" i="21"/>
  <c r="K614" i="21"/>
  <c r="K612" i="21"/>
  <c r="K611" i="20"/>
  <c r="K613" i="20"/>
  <c r="K615" i="20"/>
  <c r="K617" i="20"/>
  <c r="K619" i="20"/>
  <c r="K621" i="20"/>
  <c r="K623" i="20"/>
  <c r="K625" i="20"/>
  <c r="L640" i="20"/>
  <c r="O349" i="21"/>
  <c r="K377" i="21"/>
  <c r="O566" i="21"/>
  <c r="M53" i="21"/>
  <c r="O251" i="21"/>
  <c r="O258" i="21"/>
  <c r="M9" i="21"/>
  <c r="M15" i="21"/>
  <c r="P15" i="21" s="1"/>
  <c r="M22" i="21"/>
  <c r="P49" i="21"/>
  <c r="M43" i="21"/>
  <c r="P272" i="21"/>
  <c r="M271" i="21"/>
  <c r="O347" i="21"/>
  <c r="K375" i="21"/>
  <c r="K465" i="21"/>
  <c r="K612" i="20"/>
  <c r="K614" i="20"/>
  <c r="K616" i="20"/>
  <c r="K620" i="20"/>
  <c r="K622" i="20"/>
  <c r="K624" i="20"/>
  <c r="M14" i="21"/>
  <c r="P14" i="21" s="1"/>
  <c r="L26" i="21"/>
  <c r="M312" i="21"/>
  <c r="K345" i="21"/>
  <c r="O401" i="21"/>
  <c r="K473" i="21"/>
  <c r="P57" i="21"/>
  <c r="O221" i="21"/>
  <c r="O648" i="21"/>
  <c r="K621" i="21"/>
  <c r="K623" i="21"/>
  <c r="P142" i="17" l="1"/>
  <c r="L96" i="5"/>
  <c r="L94" i="5" s="1"/>
  <c r="L55" i="17"/>
  <c r="L292" i="15"/>
  <c r="O649" i="1"/>
  <c r="P43" i="15"/>
  <c r="L142" i="8"/>
  <c r="O70" i="7"/>
  <c r="K499" i="1"/>
  <c r="L312" i="13"/>
  <c r="O566" i="1"/>
  <c r="N220" i="19"/>
  <c r="P220" i="19" s="1"/>
  <c r="M118" i="3"/>
  <c r="P118" i="3" s="1"/>
  <c r="M118" i="5"/>
  <c r="P118" i="5" s="1"/>
  <c r="P292" i="6"/>
  <c r="K164" i="1"/>
  <c r="K132" i="1"/>
  <c r="P55" i="12"/>
  <c r="N220" i="8"/>
  <c r="P220" i="8" s="1"/>
  <c r="L292" i="3"/>
  <c r="O292" i="3" s="1"/>
  <c r="L312" i="21"/>
  <c r="O312" i="21" s="1"/>
  <c r="L43" i="4"/>
  <c r="K219" i="1"/>
  <c r="N66" i="10"/>
  <c r="P66" i="10" s="1"/>
  <c r="L68" i="5"/>
  <c r="L66" i="5" s="1"/>
  <c r="L120" i="12"/>
  <c r="O120" i="12" s="1"/>
  <c r="L11" i="4"/>
  <c r="L292" i="20"/>
  <c r="O292" i="20" s="1"/>
  <c r="L142" i="15"/>
  <c r="L140" i="15" s="1"/>
  <c r="O140" i="15" s="1"/>
  <c r="L29" i="4"/>
  <c r="O29" i="4" s="1"/>
  <c r="J651" i="1"/>
  <c r="K651" i="1" s="1"/>
  <c r="L222" i="21"/>
  <c r="O222" i="21" s="1"/>
  <c r="N140" i="20"/>
  <c r="P140" i="20" s="1"/>
  <c r="K619" i="1"/>
  <c r="P312" i="2"/>
  <c r="L222" i="20"/>
  <c r="O222" i="20" s="1"/>
  <c r="L312" i="18"/>
  <c r="L310" i="18" s="1"/>
  <c r="O310" i="18" s="1"/>
  <c r="L120" i="8"/>
  <c r="L118" i="8" s="1"/>
  <c r="O118" i="8" s="1"/>
  <c r="L55" i="5"/>
  <c r="O55" i="5" s="1"/>
  <c r="O537" i="1"/>
  <c r="L252" i="21"/>
  <c r="O252" i="21" s="1"/>
  <c r="P337" i="14"/>
  <c r="O70" i="12"/>
  <c r="O224" i="4"/>
  <c r="O352" i="1"/>
  <c r="K573" i="1"/>
  <c r="O333" i="14"/>
  <c r="M310" i="14"/>
  <c r="P310" i="14" s="1"/>
  <c r="O55" i="9"/>
  <c r="L43" i="2"/>
  <c r="O43" i="2" s="1"/>
  <c r="O68" i="14"/>
  <c r="M310" i="10"/>
  <c r="P310" i="10" s="1"/>
  <c r="O533" i="1"/>
  <c r="L222" i="2"/>
  <c r="L220" i="2" s="1"/>
  <c r="O220" i="2" s="1"/>
  <c r="K216" i="1"/>
  <c r="O98" i="17"/>
  <c r="P55" i="17"/>
  <c r="P271" i="20"/>
  <c r="L142" i="13"/>
  <c r="L140" i="13" s="1"/>
  <c r="P220" i="15"/>
  <c r="L55" i="18"/>
  <c r="O55" i="18" s="1"/>
  <c r="N29" i="6"/>
  <c r="N28" i="6" s="1"/>
  <c r="K343" i="1"/>
  <c r="O43" i="4"/>
  <c r="K82" i="1"/>
  <c r="L222" i="16"/>
  <c r="L220" i="16" s="1"/>
  <c r="O220" i="16" s="1"/>
  <c r="N29" i="10"/>
  <c r="N28" i="10" s="1"/>
  <c r="J671" i="1"/>
  <c r="K671" i="1" s="1"/>
  <c r="L292" i="19"/>
  <c r="O292" i="19" s="1"/>
  <c r="L331" i="18"/>
  <c r="O331" i="18" s="1"/>
  <c r="L68" i="4"/>
  <c r="L66" i="4" s="1"/>
  <c r="O66" i="4" s="1"/>
  <c r="O220" i="17"/>
  <c r="K185" i="1"/>
  <c r="O273" i="4"/>
  <c r="L68" i="3"/>
  <c r="O68" i="3" s="1"/>
  <c r="O122" i="20"/>
  <c r="O294" i="9"/>
  <c r="N41" i="3"/>
  <c r="N37" i="3" s="1"/>
  <c r="L142" i="14"/>
  <c r="O142" i="14" s="1"/>
  <c r="M310" i="18"/>
  <c r="P310" i="18" s="1"/>
  <c r="P55" i="11"/>
  <c r="O224" i="7"/>
  <c r="N271" i="8"/>
  <c r="P271" i="8" s="1"/>
  <c r="O555" i="1"/>
  <c r="O651" i="1"/>
  <c r="M94" i="18"/>
  <c r="P94" i="18" s="1"/>
  <c r="O144" i="16"/>
  <c r="L273" i="15"/>
  <c r="O273" i="15" s="1"/>
  <c r="M271" i="15"/>
  <c r="P271" i="15" s="1"/>
  <c r="P55" i="6"/>
  <c r="K368" i="1"/>
  <c r="K497" i="1"/>
  <c r="K266" i="1"/>
  <c r="K341" i="1"/>
  <c r="O16" i="3"/>
  <c r="O70" i="11"/>
  <c r="K289" i="1"/>
  <c r="O331" i="3"/>
  <c r="O601" i="1"/>
  <c r="K349" i="1"/>
  <c r="K235" i="1"/>
  <c r="K83" i="1"/>
  <c r="K464" i="1"/>
  <c r="K109" i="1"/>
  <c r="O568" i="1"/>
  <c r="L43" i="9"/>
  <c r="O43" i="9" s="1"/>
  <c r="L43" i="10"/>
  <c r="O43" i="10" s="1"/>
  <c r="P53" i="6"/>
  <c r="K633" i="1"/>
  <c r="O34" i="19"/>
  <c r="P140" i="5"/>
  <c r="P252" i="17"/>
  <c r="K618" i="1"/>
  <c r="K306" i="1"/>
  <c r="P45" i="1"/>
  <c r="O224" i="17"/>
  <c r="K465" i="1"/>
  <c r="O57" i="13"/>
  <c r="P222" i="9"/>
  <c r="L96" i="2"/>
  <c r="O96" i="2" s="1"/>
  <c r="K215" i="1"/>
  <c r="K186" i="1"/>
  <c r="O582" i="1"/>
  <c r="P16" i="21"/>
  <c r="O254" i="6"/>
  <c r="K350" i="1"/>
  <c r="O43" i="20"/>
  <c r="K396" i="1"/>
  <c r="M310" i="13"/>
  <c r="P310" i="13" s="1"/>
  <c r="O435" i="1"/>
  <c r="K435" i="1"/>
  <c r="O68" i="12"/>
  <c r="O220" i="9"/>
  <c r="O553" i="1"/>
  <c r="O122" i="13"/>
  <c r="L55" i="4"/>
  <c r="O55" i="4" s="1"/>
  <c r="K612" i="1"/>
  <c r="L96" i="13"/>
  <c r="L94" i="13" s="1"/>
  <c r="O94" i="13" s="1"/>
  <c r="N53" i="5"/>
  <c r="P53" i="5" s="1"/>
  <c r="K613" i="1"/>
  <c r="K93" i="1"/>
  <c r="O122" i="16"/>
  <c r="P43" i="16"/>
  <c r="K377" i="1"/>
  <c r="K616" i="1"/>
  <c r="O70" i="8"/>
  <c r="P142" i="18"/>
  <c r="L312" i="12"/>
  <c r="O312" i="12" s="1"/>
  <c r="L43" i="18"/>
  <c r="O43" i="18" s="1"/>
  <c r="O254" i="14"/>
  <c r="L43" i="6"/>
  <c r="O43" i="6" s="1"/>
  <c r="O459" i="1"/>
  <c r="K614" i="1"/>
  <c r="K498" i="1"/>
  <c r="K665" i="1"/>
  <c r="K481" i="1"/>
  <c r="M310" i="20"/>
  <c r="P310" i="20" s="1"/>
  <c r="K249" i="1"/>
  <c r="K376" i="1"/>
  <c r="L68" i="16"/>
  <c r="O68" i="16" s="1"/>
  <c r="P250" i="15"/>
  <c r="L222" i="12"/>
  <c r="L220" i="12" s="1"/>
  <c r="L96" i="11"/>
  <c r="L94" i="11" s="1"/>
  <c r="O94" i="11" s="1"/>
  <c r="O294" i="5"/>
  <c r="O580" i="1"/>
  <c r="O34" i="3"/>
  <c r="N11" i="12"/>
  <c r="N9" i="12" s="1"/>
  <c r="L43" i="13"/>
  <c r="L41" i="13" s="1"/>
  <c r="O41" i="13" s="1"/>
  <c r="K632" i="1"/>
  <c r="O142" i="18"/>
  <c r="K117" i="1"/>
  <c r="P250" i="21"/>
  <c r="P252" i="15"/>
  <c r="L43" i="14"/>
  <c r="O43" i="14" s="1"/>
  <c r="K648" i="1"/>
  <c r="K372" i="1"/>
  <c r="L43" i="15"/>
  <c r="O43" i="15" s="1"/>
  <c r="K474" i="1"/>
  <c r="K424" i="1"/>
  <c r="L252" i="7"/>
  <c r="O252" i="7" s="1"/>
  <c r="O49" i="1"/>
  <c r="K340" i="1"/>
  <c r="L142" i="7"/>
  <c r="O142" i="7" s="1"/>
  <c r="M250" i="4"/>
  <c r="P250" i="4" s="1"/>
  <c r="O98" i="21"/>
  <c r="L252" i="18"/>
  <c r="O252" i="18" s="1"/>
  <c r="L312" i="16"/>
  <c r="O312" i="16" s="1"/>
  <c r="L55" i="20"/>
  <c r="O55" i="20" s="1"/>
  <c r="L331" i="7"/>
  <c r="L329" i="7" s="1"/>
  <c r="O329" i="7" s="1"/>
  <c r="P220" i="17"/>
  <c r="P16" i="18"/>
  <c r="K533" i="1"/>
  <c r="K158" i="1"/>
  <c r="O45" i="17"/>
  <c r="N28" i="8"/>
  <c r="L120" i="7"/>
  <c r="O120" i="7" s="1"/>
  <c r="K425" i="1"/>
  <c r="K92" i="1"/>
  <c r="L273" i="20"/>
  <c r="O273" i="20" s="1"/>
  <c r="N11" i="8"/>
  <c r="N9" i="8" s="1"/>
  <c r="O66" i="8"/>
  <c r="P273" i="9"/>
  <c r="L331" i="4"/>
  <c r="O331" i="4" s="1"/>
  <c r="K304" i="1"/>
  <c r="K663" i="1"/>
  <c r="L292" i="7"/>
  <c r="L290" i="7" s="1"/>
  <c r="O290" i="7" s="1"/>
  <c r="L43" i="7"/>
  <c r="O43" i="7" s="1"/>
  <c r="O349" i="1"/>
  <c r="K229" i="1"/>
  <c r="P333" i="1"/>
  <c r="K81" i="1"/>
  <c r="K204" i="1"/>
  <c r="P53" i="13"/>
  <c r="O34" i="15"/>
  <c r="O224" i="6"/>
  <c r="O45" i="3"/>
  <c r="O122" i="19"/>
  <c r="O314" i="17"/>
  <c r="L96" i="6"/>
  <c r="O96" i="6" s="1"/>
  <c r="L140" i="18"/>
  <c r="O140" i="18" s="1"/>
  <c r="O30" i="18"/>
  <c r="O222" i="4"/>
  <c r="O404" i="1"/>
  <c r="P98" i="1"/>
  <c r="N118" i="11"/>
  <c r="P118" i="11" s="1"/>
  <c r="O222" i="9"/>
  <c r="P142" i="6"/>
  <c r="K473" i="1"/>
  <c r="K629" i="1"/>
  <c r="L331" i="20"/>
  <c r="L329" i="20" s="1"/>
  <c r="O329" i="20" s="1"/>
  <c r="P222" i="6"/>
  <c r="K617" i="1"/>
  <c r="K402" i="1"/>
  <c r="L292" i="16"/>
  <c r="O292" i="16" s="1"/>
  <c r="L96" i="9"/>
  <c r="L94" i="9" s="1"/>
  <c r="O94" i="9" s="1"/>
  <c r="K432" i="1"/>
  <c r="K133" i="1"/>
  <c r="M140" i="18"/>
  <c r="P140" i="18" s="1"/>
  <c r="N28" i="9"/>
  <c r="P55" i="2"/>
  <c r="O406" i="1"/>
  <c r="K370" i="1"/>
  <c r="K108" i="1"/>
  <c r="L55" i="6"/>
  <c r="O55" i="6" s="1"/>
  <c r="M271" i="5"/>
  <c r="P271" i="5" s="1"/>
  <c r="K650" i="1"/>
  <c r="K631" i="1"/>
  <c r="M250" i="17"/>
  <c r="P250" i="17" s="1"/>
  <c r="P53" i="2"/>
  <c r="O122" i="11"/>
  <c r="K328" i="1"/>
  <c r="O333" i="2"/>
  <c r="O401" i="1"/>
  <c r="O314" i="2"/>
  <c r="O254" i="2"/>
  <c r="K84" i="1"/>
  <c r="O254" i="16"/>
  <c r="M118" i="10"/>
  <c r="P118" i="10" s="1"/>
  <c r="O68" i="8"/>
  <c r="P222" i="21"/>
  <c r="O640" i="7"/>
  <c r="O30" i="21"/>
  <c r="N43" i="1"/>
  <c r="N41" i="1" s="1"/>
  <c r="L312" i="15"/>
  <c r="O312" i="15" s="1"/>
  <c r="P140" i="6"/>
  <c r="O275" i="7"/>
  <c r="P331" i="21"/>
  <c r="L273" i="8"/>
  <c r="O222" i="3"/>
  <c r="K466" i="1"/>
  <c r="O290" i="6"/>
  <c r="K418" i="1"/>
  <c r="K86" i="1"/>
  <c r="P70" i="1"/>
  <c r="K426" i="1"/>
  <c r="O70" i="17"/>
  <c r="L312" i="4"/>
  <c r="O312" i="4" s="1"/>
  <c r="K110" i="1"/>
  <c r="P222" i="3"/>
  <c r="O45" i="21"/>
  <c r="O102" i="1"/>
  <c r="L55" i="11"/>
  <c r="O55" i="11" s="1"/>
  <c r="O292" i="6"/>
  <c r="K345" i="1"/>
  <c r="P329" i="21"/>
  <c r="M310" i="19"/>
  <c r="P310" i="19" s="1"/>
  <c r="L68" i="2"/>
  <c r="O68" i="2" s="1"/>
  <c r="O43" i="21"/>
  <c r="P290" i="6"/>
  <c r="M220" i="6"/>
  <c r="P220" i="6" s="1"/>
  <c r="L222" i="19"/>
  <c r="O222" i="19" s="1"/>
  <c r="K111" i="1"/>
  <c r="K213" i="1"/>
  <c r="K200" i="1"/>
  <c r="O224" i="9"/>
  <c r="P292" i="16"/>
  <c r="O640" i="6"/>
  <c r="P142" i="3"/>
  <c r="K173" i="1"/>
  <c r="O455" i="1"/>
  <c r="K80" i="1"/>
  <c r="K64" i="1"/>
  <c r="L220" i="4"/>
  <c r="O220" i="4" s="1"/>
  <c r="N12" i="19"/>
  <c r="N10" i="19" s="1"/>
  <c r="M271" i="17"/>
  <c r="P271" i="17" s="1"/>
  <c r="L222" i="11"/>
  <c r="O222" i="11" s="1"/>
  <c r="M310" i="9"/>
  <c r="P310" i="9" s="1"/>
  <c r="L292" i="14"/>
  <c r="O292" i="14" s="1"/>
  <c r="K265" i="1"/>
  <c r="L292" i="8"/>
  <c r="O292" i="8" s="1"/>
  <c r="K138" i="1"/>
  <c r="K634" i="1"/>
  <c r="K630" i="1"/>
  <c r="O275" i="16"/>
  <c r="O45" i="19"/>
  <c r="N28" i="19"/>
  <c r="O122" i="17"/>
  <c r="O333" i="3"/>
  <c r="O34" i="20"/>
  <c r="O551" i="1"/>
  <c r="K324" i="1"/>
  <c r="O437" i="1"/>
  <c r="K270" i="1"/>
  <c r="O74" i="1"/>
  <c r="P57" i="1"/>
  <c r="K625" i="1"/>
  <c r="K113" i="1"/>
  <c r="K482" i="1"/>
  <c r="P144" i="1"/>
  <c r="K547" i="1"/>
  <c r="N12" i="20"/>
  <c r="N10" i="20" s="1"/>
  <c r="M331" i="19"/>
  <c r="M329" i="19" s="1"/>
  <c r="O650" i="1"/>
  <c r="K628" i="1"/>
  <c r="K85" i="1"/>
  <c r="P273" i="20"/>
  <c r="L252" i="13"/>
  <c r="O252" i="13" s="1"/>
  <c r="P329" i="8"/>
  <c r="L290" i="4"/>
  <c r="O290" i="4" s="1"/>
  <c r="P292" i="2"/>
  <c r="K611" i="1"/>
  <c r="P275" i="1"/>
  <c r="O30" i="19"/>
  <c r="L43" i="11"/>
  <c r="O43" i="11" s="1"/>
  <c r="L292" i="13"/>
  <c r="O292" i="13" s="1"/>
  <c r="K176" i="1"/>
  <c r="M290" i="7"/>
  <c r="P290" i="7" s="1"/>
  <c r="K451" i="1"/>
  <c r="K267" i="1"/>
  <c r="P120" i="14"/>
  <c r="P329" i="12"/>
  <c r="O144" i="6"/>
  <c r="K420" i="1"/>
  <c r="O564" i="1"/>
  <c r="O310" i="2"/>
  <c r="K621" i="1"/>
  <c r="O333" i="19"/>
  <c r="O333" i="5"/>
  <c r="L142" i="5"/>
  <c r="L140" i="5" s="1"/>
  <c r="O140" i="5" s="1"/>
  <c r="K622" i="1"/>
  <c r="O224" i="3"/>
  <c r="O222" i="17"/>
  <c r="P271" i="19"/>
  <c r="K309" i="1"/>
  <c r="P53" i="21"/>
  <c r="M26" i="19"/>
  <c r="P26" i="19" s="1"/>
  <c r="M271" i="18"/>
  <c r="P271" i="18" s="1"/>
  <c r="O70" i="14"/>
  <c r="M118" i="12"/>
  <c r="P118" i="12" s="1"/>
  <c r="M118" i="13"/>
  <c r="P118" i="13" s="1"/>
  <c r="L142" i="12"/>
  <c r="O142" i="12" s="1"/>
  <c r="L292" i="12"/>
  <c r="O292" i="12" s="1"/>
  <c r="L331" i="8"/>
  <c r="L329" i="8" s="1"/>
  <c r="O329" i="8" s="1"/>
  <c r="L252" i="4"/>
  <c r="O252" i="4" s="1"/>
  <c r="K88" i="1"/>
  <c r="K375" i="1"/>
  <c r="K623" i="1"/>
  <c r="O70" i="10"/>
  <c r="K620" i="1"/>
  <c r="K65" i="1"/>
  <c r="M94" i="19"/>
  <c r="P94" i="19" s="1"/>
  <c r="O45" i="20"/>
  <c r="P55" i="21"/>
  <c r="M118" i="19"/>
  <c r="P118" i="19" s="1"/>
  <c r="P55" i="13"/>
  <c r="O98" i="12"/>
  <c r="P122" i="1"/>
  <c r="O347" i="1"/>
  <c r="K398" i="1"/>
  <c r="P331" i="12"/>
  <c r="P142" i="2"/>
  <c r="P252" i="6"/>
  <c r="O333" i="15"/>
  <c r="O671" i="1"/>
  <c r="O314" i="3"/>
  <c r="L120" i="2"/>
  <c r="O120" i="2" s="1"/>
  <c r="N41" i="21"/>
  <c r="O41" i="21" s="1"/>
  <c r="P120" i="9"/>
  <c r="P68" i="8"/>
  <c r="K626" i="1"/>
  <c r="O26" i="3"/>
  <c r="P120" i="20"/>
  <c r="O120" i="20"/>
  <c r="O331" i="19"/>
  <c r="M220" i="3"/>
  <c r="P220" i="3" s="1"/>
  <c r="K551" i="1"/>
  <c r="O312" i="2"/>
  <c r="N66" i="19"/>
  <c r="P66" i="19" s="1"/>
  <c r="L14" i="21"/>
  <c r="M26" i="15"/>
  <c r="M16" i="15" s="1"/>
  <c r="P16" i="15" s="1"/>
  <c r="O68" i="10"/>
  <c r="K624" i="1"/>
  <c r="O122" i="21"/>
  <c r="L331" i="13"/>
  <c r="O331" i="13" s="1"/>
  <c r="L252" i="10"/>
  <c r="O252" i="10" s="1"/>
  <c r="N11" i="9"/>
  <c r="N9" i="9" s="1"/>
  <c r="O331" i="2"/>
  <c r="O144" i="18"/>
  <c r="N31" i="1"/>
  <c r="N29" i="1" s="1"/>
  <c r="L312" i="6"/>
  <c r="O312" i="6" s="1"/>
  <c r="P331" i="13"/>
  <c r="P312" i="6"/>
  <c r="L142" i="17"/>
  <c r="L140" i="17" s="1"/>
  <c r="O140" i="17" s="1"/>
  <c r="L312" i="14"/>
  <c r="O312" i="14" s="1"/>
  <c r="O337" i="1"/>
  <c r="O333" i="21"/>
  <c r="O333" i="17"/>
  <c r="P120" i="17"/>
  <c r="O96" i="17"/>
  <c r="P43" i="13"/>
  <c r="M220" i="9"/>
  <c r="P220" i="9" s="1"/>
  <c r="L312" i="11"/>
  <c r="O312" i="11" s="1"/>
  <c r="M290" i="3"/>
  <c r="P290" i="3" s="1"/>
  <c r="L220" i="3"/>
  <c r="O220" i="3" s="1"/>
  <c r="K564" i="1"/>
  <c r="L638" i="6"/>
  <c r="O638" i="6" s="1"/>
  <c r="O57" i="3"/>
  <c r="P142" i="21"/>
  <c r="P252" i="21"/>
  <c r="O32" i="18"/>
  <c r="P222" i="15"/>
  <c r="L331" i="12"/>
  <c r="L329" i="12" s="1"/>
  <c r="O329" i="12" s="1"/>
  <c r="O222" i="7"/>
  <c r="P312" i="5"/>
  <c r="P222" i="13"/>
  <c r="P142" i="10"/>
  <c r="M310" i="16"/>
  <c r="P310" i="16" s="1"/>
  <c r="O331" i="17"/>
  <c r="P96" i="6"/>
  <c r="K593" i="1"/>
  <c r="L68" i="6"/>
  <c r="O68" i="6" s="1"/>
  <c r="O32" i="20"/>
  <c r="O32" i="19"/>
  <c r="L331" i="9"/>
  <c r="L329" i="9" s="1"/>
  <c r="O329" i="9" s="1"/>
  <c r="I367" i="1"/>
  <c r="K367" i="1" s="1"/>
  <c r="P22" i="4"/>
  <c r="P142" i="5"/>
  <c r="O94" i="5"/>
  <c r="P224" i="1"/>
  <c r="K401" i="1"/>
  <c r="O354" i="1"/>
  <c r="K449" i="1"/>
  <c r="O599" i="1"/>
  <c r="N11" i="13"/>
  <c r="N9" i="13" s="1"/>
  <c r="O55" i="19"/>
  <c r="P273" i="6"/>
  <c r="O32" i="3"/>
  <c r="O43" i="17"/>
  <c r="K201" i="1"/>
  <c r="O252" i="14"/>
  <c r="K635" i="1"/>
  <c r="K430" i="1"/>
  <c r="K87" i="1"/>
  <c r="K615" i="1"/>
  <c r="O120" i="17"/>
  <c r="L271" i="9"/>
  <c r="O271" i="9" s="1"/>
  <c r="O273" i="9"/>
  <c r="N11" i="16"/>
  <c r="N9" i="16" s="1"/>
  <c r="L252" i="19"/>
  <c r="O252" i="19" s="1"/>
  <c r="P252" i="14"/>
  <c r="K149" i="1"/>
  <c r="O275" i="3"/>
  <c r="P96" i="21"/>
  <c r="P273" i="19"/>
  <c r="O32" i="13"/>
  <c r="N329" i="13"/>
  <c r="P329" i="13" s="1"/>
  <c r="O55" i="7"/>
  <c r="O294" i="6"/>
  <c r="L120" i="5"/>
  <c r="L118" i="5" s="1"/>
  <c r="O118" i="5" s="1"/>
  <c r="P55" i="14"/>
  <c r="P271" i="9"/>
  <c r="L273" i="5"/>
  <c r="O273" i="5" s="1"/>
  <c r="K431" i="1"/>
  <c r="K450" i="1"/>
  <c r="O294" i="2"/>
  <c r="L312" i="20"/>
  <c r="O275" i="4"/>
  <c r="O98" i="16"/>
  <c r="L13" i="21"/>
  <c r="O13" i="21" s="1"/>
  <c r="N250" i="14"/>
  <c r="O250" i="14" s="1"/>
  <c r="N94" i="17"/>
  <c r="O94" i="17" s="1"/>
  <c r="P55" i="16"/>
  <c r="L273" i="17"/>
  <c r="M290" i="14"/>
  <c r="P290" i="14" s="1"/>
  <c r="N220" i="12"/>
  <c r="P220" i="12" s="1"/>
  <c r="O57" i="7"/>
  <c r="P68" i="5"/>
  <c r="L23" i="1"/>
  <c r="O23" i="1" s="1"/>
  <c r="O457" i="1"/>
  <c r="P314" i="1"/>
  <c r="L120" i="3"/>
  <c r="L118" i="3" s="1"/>
  <c r="O118" i="3" s="1"/>
  <c r="L142" i="19"/>
  <c r="L140" i="19" s="1"/>
  <c r="L94" i="16"/>
  <c r="O94" i="16" s="1"/>
  <c r="O275" i="9"/>
  <c r="M310" i="15"/>
  <c r="P310" i="15" s="1"/>
  <c r="L43" i="5"/>
  <c r="O43" i="5" s="1"/>
  <c r="O314" i="8"/>
  <c r="L30" i="3"/>
  <c r="O30" i="3" s="1"/>
  <c r="P254" i="1"/>
  <c r="N66" i="15"/>
  <c r="P66" i="15" s="1"/>
  <c r="P250" i="6"/>
  <c r="P252" i="5"/>
  <c r="L222" i="10"/>
  <c r="O222" i="10" s="1"/>
  <c r="P118" i="20"/>
  <c r="L14" i="20"/>
  <c r="O14" i="20" s="1"/>
  <c r="L273" i="18"/>
  <c r="O273" i="18" s="1"/>
  <c r="P96" i="17"/>
  <c r="N28" i="16"/>
  <c r="L96" i="14"/>
  <c r="O96" i="14" s="1"/>
  <c r="L222" i="14"/>
  <c r="O222" i="14" s="1"/>
  <c r="L22" i="13"/>
  <c r="L20" i="13" s="1"/>
  <c r="M290" i="9"/>
  <c r="P290" i="9" s="1"/>
  <c r="K264" i="1"/>
  <c r="O380" i="1"/>
  <c r="K580" i="1"/>
  <c r="P41" i="8"/>
  <c r="O329" i="14"/>
  <c r="L66" i="12"/>
  <c r="O66" i="12" s="1"/>
  <c r="K416" i="1"/>
  <c r="K428" i="1"/>
  <c r="K422" i="1"/>
  <c r="O640" i="21"/>
  <c r="M41" i="16"/>
  <c r="P41" i="16" s="1"/>
  <c r="P329" i="15"/>
  <c r="K649" i="1"/>
  <c r="K397" i="1"/>
  <c r="N140" i="19"/>
  <c r="P140" i="19" s="1"/>
  <c r="K597" i="1"/>
  <c r="P331" i="6"/>
  <c r="O34" i="16"/>
  <c r="N28" i="20"/>
  <c r="O250" i="8"/>
  <c r="K189" i="1"/>
  <c r="L26" i="1"/>
  <c r="L16" i="1" s="1"/>
  <c r="P222" i="17"/>
  <c r="N28" i="18"/>
  <c r="O34" i="18"/>
  <c r="N28" i="11"/>
  <c r="O271" i="14"/>
  <c r="O294" i="11"/>
  <c r="L22" i="6"/>
  <c r="O22" i="6" s="1"/>
  <c r="O584" i="1"/>
  <c r="O439" i="1"/>
  <c r="N11" i="18"/>
  <c r="N9" i="18" s="1"/>
  <c r="P41" i="11"/>
  <c r="N220" i="7"/>
  <c r="O220" i="7" s="1"/>
  <c r="P273" i="4"/>
  <c r="N220" i="5"/>
  <c r="P220" i="5" s="1"/>
  <c r="N11" i="20"/>
  <c r="N9" i="20" s="1"/>
  <c r="L68" i="9"/>
  <c r="L66" i="9" s="1"/>
  <c r="O66" i="9" s="1"/>
  <c r="P250" i="5"/>
  <c r="L55" i="10"/>
  <c r="O55" i="10" s="1"/>
  <c r="M118" i="7"/>
  <c r="P118" i="7" s="1"/>
  <c r="O254" i="8"/>
  <c r="L273" i="6"/>
  <c r="O273" i="6" s="1"/>
  <c r="L142" i="9"/>
  <c r="O142" i="9" s="1"/>
  <c r="L29" i="9"/>
  <c r="O29" i="9" s="1"/>
  <c r="P331" i="18"/>
  <c r="P96" i="13"/>
  <c r="M66" i="4"/>
  <c r="P66" i="4" s="1"/>
  <c r="N28" i="12"/>
  <c r="P329" i="18"/>
  <c r="L292" i="18"/>
  <c r="O292" i="18" s="1"/>
  <c r="O333" i="16"/>
  <c r="L273" i="11"/>
  <c r="O273" i="11" s="1"/>
  <c r="O31" i="9"/>
  <c r="M290" i="8"/>
  <c r="P290" i="8" s="1"/>
  <c r="N28" i="17"/>
  <c r="P222" i="11"/>
  <c r="L142" i="11"/>
  <c r="L140" i="11" s="1"/>
  <c r="O140" i="11" s="1"/>
  <c r="L273" i="2"/>
  <c r="O57" i="19"/>
  <c r="N20" i="18"/>
  <c r="N18" i="18" s="1"/>
  <c r="P26" i="18"/>
  <c r="O34" i="17"/>
  <c r="N11" i="11"/>
  <c r="N9" i="11" s="1"/>
  <c r="L13" i="11"/>
  <c r="O13" i="11" s="1"/>
  <c r="O333" i="6"/>
  <c r="L290" i="3"/>
  <c r="O290" i="3" s="1"/>
  <c r="L312" i="9"/>
  <c r="O312" i="9" s="1"/>
  <c r="N271" i="4"/>
  <c r="N37" i="4" s="1"/>
  <c r="P222" i="18"/>
  <c r="K199" i="1"/>
  <c r="O597" i="1"/>
  <c r="N12" i="18"/>
  <c r="N10" i="18" s="1"/>
  <c r="O57" i="9"/>
  <c r="N22" i="1"/>
  <c r="O329" i="5"/>
  <c r="P273" i="10"/>
  <c r="N329" i="19"/>
  <c r="O329" i="19" s="1"/>
  <c r="N66" i="5"/>
  <c r="O66" i="5" s="1"/>
  <c r="L333" i="1"/>
  <c r="O333" i="1" s="1"/>
  <c r="N41" i="9"/>
  <c r="P41" i="9" s="1"/>
  <c r="N66" i="17"/>
  <c r="O273" i="14"/>
  <c r="L22" i="4"/>
  <c r="O22" i="4" s="1"/>
  <c r="O30" i="13"/>
  <c r="O43" i="16"/>
  <c r="L41" i="16"/>
  <c r="O41" i="16" s="1"/>
  <c r="O142" i="3"/>
  <c r="L140" i="3"/>
  <c r="O140" i="3" s="1"/>
  <c r="O312" i="7"/>
  <c r="L310" i="7"/>
  <c r="O310" i="7" s="1"/>
  <c r="N12" i="13"/>
  <c r="N10" i="13" s="1"/>
  <c r="M118" i="6"/>
  <c r="P118" i="6" s="1"/>
  <c r="M290" i="4"/>
  <c r="P290" i="4" s="1"/>
  <c r="M290" i="15"/>
  <c r="P290" i="15" s="1"/>
  <c r="M96" i="15"/>
  <c r="P96" i="15" s="1"/>
  <c r="M94" i="21"/>
  <c r="P94" i="21" s="1"/>
  <c r="L142" i="21"/>
  <c r="L140" i="21" s="1"/>
  <c r="O140" i="21" s="1"/>
  <c r="O294" i="21"/>
  <c r="L53" i="19"/>
  <c r="O53" i="19" s="1"/>
  <c r="L312" i="19"/>
  <c r="O312" i="19" s="1"/>
  <c r="O98" i="18"/>
  <c r="M331" i="14"/>
  <c r="P331" i="14" s="1"/>
  <c r="L222" i="15"/>
  <c r="M94" i="14"/>
  <c r="P94" i="14" s="1"/>
  <c r="O333" i="11"/>
  <c r="L252" i="15"/>
  <c r="O252" i="15" s="1"/>
  <c r="O34" i="13"/>
  <c r="P55" i="7"/>
  <c r="P55" i="9"/>
  <c r="L120" i="6"/>
  <c r="O120" i="6" s="1"/>
  <c r="O34" i="5"/>
  <c r="P120" i="8"/>
  <c r="L273" i="10"/>
  <c r="O273" i="10" s="1"/>
  <c r="P142" i="4"/>
  <c r="K112" i="1"/>
  <c r="N11" i="3"/>
  <c r="N9" i="3" s="1"/>
  <c r="O254" i="3"/>
  <c r="O144" i="3"/>
  <c r="L14" i="3"/>
  <c r="O14" i="3" s="1"/>
  <c r="P294" i="1"/>
  <c r="L142" i="2"/>
  <c r="L140" i="2" s="1"/>
  <c r="O140" i="2" s="1"/>
  <c r="L142" i="20"/>
  <c r="M250" i="16"/>
  <c r="P250" i="16" s="1"/>
  <c r="P273" i="14"/>
  <c r="L120" i="10"/>
  <c r="L118" i="10" s="1"/>
  <c r="O118" i="10" s="1"/>
  <c r="M271" i="7"/>
  <c r="P271" i="7" s="1"/>
  <c r="P43" i="8"/>
  <c r="M290" i="19"/>
  <c r="P290" i="19" s="1"/>
  <c r="N271" i="12"/>
  <c r="P271" i="12" s="1"/>
  <c r="O34" i="12"/>
  <c r="N292" i="1"/>
  <c r="O661" i="1"/>
  <c r="P68" i="12"/>
  <c r="M66" i="12"/>
  <c r="P66" i="12" s="1"/>
  <c r="O122" i="18"/>
  <c r="O34" i="8"/>
  <c r="L273" i="21"/>
  <c r="O273" i="21" s="1"/>
  <c r="O70" i="21"/>
  <c r="L22" i="21"/>
  <c r="L12" i="21" s="1"/>
  <c r="L68" i="18"/>
  <c r="O68" i="18" s="1"/>
  <c r="P43" i="18"/>
  <c r="P329" i="16"/>
  <c r="O273" i="16"/>
  <c r="N11" i="17"/>
  <c r="N9" i="17" s="1"/>
  <c r="L96" i="15"/>
  <c r="L94" i="15" s="1"/>
  <c r="O94" i="15" s="1"/>
  <c r="O122" i="14"/>
  <c r="L22" i="14"/>
  <c r="L20" i="14" s="1"/>
  <c r="M26" i="13"/>
  <c r="M16" i="13" s="1"/>
  <c r="P16" i="13" s="1"/>
  <c r="O70" i="13"/>
  <c r="M290" i="12"/>
  <c r="P290" i="12" s="1"/>
  <c r="N271" i="10"/>
  <c r="P271" i="10" s="1"/>
  <c r="N290" i="1"/>
  <c r="M66" i="7"/>
  <c r="P66" i="7" s="1"/>
  <c r="O333" i="10"/>
  <c r="O252" i="8"/>
  <c r="P53" i="7"/>
  <c r="O34" i="9"/>
  <c r="P142" i="8"/>
  <c r="O224" i="8"/>
  <c r="P140" i="4"/>
  <c r="M140" i="3"/>
  <c r="P140" i="3" s="1"/>
  <c r="O122" i="4"/>
  <c r="N644" i="1"/>
  <c r="N640" i="1" s="1"/>
  <c r="N638" i="1" s="1"/>
  <c r="N636" i="1" s="1"/>
  <c r="N250" i="2"/>
  <c r="N37" i="2" s="1"/>
  <c r="O535" i="1"/>
  <c r="K455" i="1"/>
  <c r="N33" i="1"/>
  <c r="N13" i="1" s="1"/>
  <c r="P222" i="16"/>
  <c r="P331" i="16"/>
  <c r="L68" i="15"/>
  <c r="O68" i="15" s="1"/>
  <c r="M220" i="13"/>
  <c r="P220" i="13" s="1"/>
  <c r="L11" i="5"/>
  <c r="L29" i="5"/>
  <c r="O29" i="5" s="1"/>
  <c r="L273" i="12"/>
  <c r="P273" i="16"/>
  <c r="L22" i="11"/>
  <c r="L12" i="11" s="1"/>
  <c r="L55" i="21"/>
  <c r="L53" i="21" s="1"/>
  <c r="L252" i="20"/>
  <c r="L250" i="20" s="1"/>
  <c r="O250" i="20" s="1"/>
  <c r="L14" i="19"/>
  <c r="O14" i="19" s="1"/>
  <c r="L273" i="19"/>
  <c r="O273" i="19" s="1"/>
  <c r="P220" i="16"/>
  <c r="L28" i="18"/>
  <c r="N140" i="13"/>
  <c r="P102" i="13"/>
  <c r="O34" i="14"/>
  <c r="O34" i="11"/>
  <c r="L331" i="10"/>
  <c r="O331" i="10" s="1"/>
  <c r="L252" i="11"/>
  <c r="O252" i="11" s="1"/>
  <c r="L292" i="10"/>
  <c r="O314" i="7"/>
  <c r="L222" i="5"/>
  <c r="O222" i="5" s="1"/>
  <c r="O640" i="9"/>
  <c r="L252" i="9"/>
  <c r="O252" i="9" s="1"/>
  <c r="L120" i="4"/>
  <c r="O120" i="4" s="1"/>
  <c r="M12" i="4"/>
  <c r="L120" i="15"/>
  <c r="O120" i="15" s="1"/>
  <c r="O275" i="14"/>
  <c r="O45" i="16"/>
  <c r="O120" i="11"/>
  <c r="N66" i="11"/>
  <c r="P66" i="11" s="1"/>
  <c r="N28" i="13"/>
  <c r="P53" i="18"/>
  <c r="N271" i="21"/>
  <c r="P55" i="20"/>
  <c r="M94" i="16"/>
  <c r="P94" i="16" s="1"/>
  <c r="N222" i="1"/>
  <c r="M140" i="2"/>
  <c r="P140" i="2" s="1"/>
  <c r="M20" i="4"/>
  <c r="M18" i="4" s="1"/>
  <c r="M290" i="11"/>
  <c r="P290" i="11" s="1"/>
  <c r="M220" i="18"/>
  <c r="P220" i="18" s="1"/>
  <c r="N12" i="7"/>
  <c r="N10" i="7" s="1"/>
  <c r="M118" i="17"/>
  <c r="P118" i="17" s="1"/>
  <c r="O26" i="16"/>
  <c r="N28" i="4"/>
  <c r="O34" i="2"/>
  <c r="P120" i="15"/>
  <c r="M118" i="15"/>
  <c r="P118" i="15" s="1"/>
  <c r="M94" i="12"/>
  <c r="P94" i="12" s="1"/>
  <c r="P43" i="20"/>
  <c r="L66" i="14"/>
  <c r="O66" i="14" s="1"/>
  <c r="O34" i="6"/>
  <c r="N53" i="9"/>
  <c r="O53" i="9" s="1"/>
  <c r="L13" i="6"/>
  <c r="O13" i="6" s="1"/>
  <c r="P271" i="14"/>
  <c r="L144" i="1"/>
  <c r="O144" i="1" s="1"/>
  <c r="O31" i="18"/>
  <c r="L11" i="18"/>
  <c r="O32" i="12"/>
  <c r="L30" i="12"/>
  <c r="O30" i="12" s="1"/>
  <c r="P220" i="21"/>
  <c r="O34" i="21"/>
  <c r="P43" i="14"/>
  <c r="M220" i="11"/>
  <c r="P220" i="11" s="1"/>
  <c r="L29" i="20"/>
  <c r="O29" i="20" s="1"/>
  <c r="O31" i="20"/>
  <c r="P68" i="16"/>
  <c r="M66" i="16"/>
  <c r="P66" i="16" s="1"/>
  <c r="M94" i="17"/>
  <c r="M329" i="9"/>
  <c r="P329" i="9" s="1"/>
  <c r="M250" i="9"/>
  <c r="P250" i="9" s="1"/>
  <c r="O34" i="7"/>
  <c r="M310" i="17"/>
  <c r="P310" i="17" s="1"/>
  <c r="P331" i="15"/>
  <c r="L142" i="10"/>
  <c r="O144" i="10"/>
  <c r="O31" i="13"/>
  <c r="L11" i="13"/>
  <c r="L29" i="13"/>
  <c r="N41" i="20"/>
  <c r="P41" i="20" s="1"/>
  <c r="M118" i="8"/>
  <c r="P118" i="8" s="1"/>
  <c r="N14" i="21"/>
  <c r="N28" i="3"/>
  <c r="O98" i="8"/>
  <c r="L96" i="8"/>
  <c r="M290" i="10"/>
  <c r="P290" i="10" s="1"/>
  <c r="P68" i="2"/>
  <c r="M66" i="2"/>
  <c r="P66" i="2" s="1"/>
  <c r="N37" i="18"/>
  <c r="N11" i="21"/>
  <c r="N9" i="21" s="1"/>
  <c r="N29" i="21"/>
  <c r="N28" i="21" s="1"/>
  <c r="L118" i="18"/>
  <c r="O118" i="18" s="1"/>
  <c r="O120" i="18"/>
  <c r="L292" i="17"/>
  <c r="O294" i="17"/>
  <c r="P26" i="12"/>
  <c r="N16" i="12"/>
  <c r="P16" i="12" s="1"/>
  <c r="O254" i="12"/>
  <c r="L252" i="12"/>
  <c r="N20" i="20"/>
  <c r="N18" i="20" s="1"/>
  <c r="L22" i="19"/>
  <c r="O22" i="19" s="1"/>
  <c r="N37" i="16"/>
  <c r="N12" i="16"/>
  <c r="N10" i="16" s="1"/>
  <c r="M94" i="13"/>
  <c r="P94" i="13" s="1"/>
  <c r="L122" i="1"/>
  <c r="O122" i="1" s="1"/>
  <c r="O32" i="21"/>
  <c r="P120" i="21"/>
  <c r="M118" i="21"/>
  <c r="P118" i="21" s="1"/>
  <c r="N20" i="21"/>
  <c r="N18" i="21" s="1"/>
  <c r="N12" i="21"/>
  <c r="N10" i="21" s="1"/>
  <c r="P26" i="21"/>
  <c r="M250" i="18"/>
  <c r="P250" i="18" s="1"/>
  <c r="P55" i="18"/>
  <c r="P68" i="14"/>
  <c r="M66" i="14"/>
  <c r="P66" i="14" s="1"/>
  <c r="P312" i="11"/>
  <c r="M310" i="11"/>
  <c r="P310" i="11" s="1"/>
  <c r="O292" i="9"/>
  <c r="L290" i="9"/>
  <c r="O290" i="9" s="1"/>
  <c r="O68" i="11"/>
  <c r="L66" i="11"/>
  <c r="L250" i="6"/>
  <c r="O250" i="6" s="1"/>
  <c r="O252" i="6"/>
  <c r="O30" i="15"/>
  <c r="L314" i="1"/>
  <c r="O314" i="1" s="1"/>
  <c r="P329" i="4"/>
  <c r="N34" i="1"/>
  <c r="N14" i="1" s="1"/>
  <c r="L142" i="4"/>
  <c r="L140" i="4" s="1"/>
  <c r="O140" i="4" s="1"/>
  <c r="M53" i="15"/>
  <c r="P53" i="15" s="1"/>
  <c r="P55" i="15"/>
  <c r="M250" i="13"/>
  <c r="P250" i="13" s="1"/>
  <c r="M118" i="2"/>
  <c r="P118" i="2" s="1"/>
  <c r="P120" i="2"/>
  <c r="O96" i="5"/>
  <c r="N20" i="7"/>
  <c r="N18" i="7" s="1"/>
  <c r="K419" i="1"/>
  <c r="P252" i="20"/>
  <c r="M250" i="20"/>
  <c r="P250" i="20" s="1"/>
  <c r="P292" i="21"/>
  <c r="M290" i="21"/>
  <c r="P290" i="21" s="1"/>
  <c r="M250" i="10"/>
  <c r="P250" i="10" s="1"/>
  <c r="M290" i="5"/>
  <c r="P290" i="5" s="1"/>
  <c r="P292" i="5"/>
  <c r="P96" i="4"/>
  <c r="M94" i="4"/>
  <c r="P94" i="4" s="1"/>
  <c r="P312" i="7"/>
  <c r="M310" i="7"/>
  <c r="P310" i="7" s="1"/>
  <c r="L118" i="19"/>
  <c r="O118" i="19" s="1"/>
  <c r="L41" i="17"/>
  <c r="O41" i="17" s="1"/>
  <c r="P331" i="8"/>
  <c r="K423" i="1"/>
  <c r="M140" i="21"/>
  <c r="P140" i="21" s="1"/>
  <c r="P68" i="21"/>
  <c r="M66" i="21"/>
  <c r="P66" i="21" s="1"/>
  <c r="M290" i="18"/>
  <c r="P290" i="18" s="1"/>
  <c r="P120" i="18"/>
  <c r="M118" i="18"/>
  <c r="P118" i="18" s="1"/>
  <c r="M140" i="16"/>
  <c r="P140" i="16" s="1"/>
  <c r="P142" i="16"/>
  <c r="P120" i="16"/>
  <c r="M118" i="16"/>
  <c r="P118" i="16" s="1"/>
  <c r="P142" i="15"/>
  <c r="M140" i="15"/>
  <c r="P140" i="15" s="1"/>
  <c r="L29" i="10"/>
  <c r="O29" i="10" s="1"/>
  <c r="O31" i="10"/>
  <c r="M220" i="10"/>
  <c r="P220" i="10" s="1"/>
  <c r="P222" i="10"/>
  <c r="P252" i="11"/>
  <c r="M250" i="11"/>
  <c r="P250" i="11" s="1"/>
  <c r="O98" i="4"/>
  <c r="L96" i="4"/>
  <c r="N53" i="10"/>
  <c r="P53" i="10" s="1"/>
  <c r="M250" i="8"/>
  <c r="P250" i="8" s="1"/>
  <c r="P252" i="8"/>
  <c r="N312" i="1"/>
  <c r="L118" i="16"/>
  <c r="O118" i="16" s="1"/>
  <c r="L310" i="21"/>
  <c r="O310" i="21" s="1"/>
  <c r="L22" i="20"/>
  <c r="L12" i="20" s="1"/>
  <c r="L118" i="17"/>
  <c r="O118" i="17" s="1"/>
  <c r="O16" i="16"/>
  <c r="M53" i="14"/>
  <c r="P53" i="14" s="1"/>
  <c r="L118" i="13"/>
  <c r="O118" i="13" s="1"/>
  <c r="O331" i="5"/>
  <c r="L329" i="3"/>
  <c r="O329" i="3" s="1"/>
  <c r="L24" i="1"/>
  <c r="O24" i="1" s="1"/>
  <c r="L29" i="21"/>
  <c r="L11" i="21"/>
  <c r="O31" i="21"/>
  <c r="P222" i="20"/>
  <c r="M220" i="20"/>
  <c r="P220" i="20" s="1"/>
  <c r="M290" i="20"/>
  <c r="P290" i="20" s="1"/>
  <c r="P68" i="20"/>
  <c r="M66" i="20"/>
  <c r="P66" i="20" s="1"/>
  <c r="O23" i="16"/>
  <c r="L13" i="16"/>
  <c r="O13" i="16" s="1"/>
  <c r="L222" i="13"/>
  <c r="O224" i="13"/>
  <c r="P273" i="13"/>
  <c r="M271" i="13"/>
  <c r="P271" i="13" s="1"/>
  <c r="P312" i="12"/>
  <c r="M310" i="12"/>
  <c r="P310" i="12" s="1"/>
  <c r="P43" i="11"/>
  <c r="M331" i="11"/>
  <c r="P337" i="11"/>
  <c r="P142" i="11"/>
  <c r="M140" i="11"/>
  <c r="P140" i="11" s="1"/>
  <c r="L294" i="1"/>
  <c r="O294" i="1" s="1"/>
  <c r="M271" i="2"/>
  <c r="P271" i="2" s="1"/>
  <c r="P273" i="2"/>
  <c r="M94" i="2"/>
  <c r="P94" i="2" s="1"/>
  <c r="O250" i="3"/>
  <c r="P43" i="17"/>
  <c r="M41" i="17"/>
  <c r="O53" i="3"/>
  <c r="O31" i="19"/>
  <c r="L29" i="19"/>
  <c r="L11" i="19"/>
  <c r="O23" i="13"/>
  <c r="L13" i="13"/>
  <c r="O13" i="13" s="1"/>
  <c r="P331" i="7"/>
  <c r="M329" i="7"/>
  <c r="P329" i="7" s="1"/>
  <c r="P11" i="10"/>
  <c r="M9" i="10"/>
  <c r="P22" i="9"/>
  <c r="M12" i="9"/>
  <c r="O32" i="5"/>
  <c r="L30" i="5"/>
  <c r="M331" i="2"/>
  <c r="P337" i="2"/>
  <c r="M26" i="2"/>
  <c r="M20" i="2" s="1"/>
  <c r="M337" i="1"/>
  <c r="P337" i="1" s="1"/>
  <c r="O43" i="3"/>
  <c r="L41" i="3"/>
  <c r="P312" i="21"/>
  <c r="M310" i="21"/>
  <c r="P310" i="21" s="1"/>
  <c r="M312" i="1"/>
  <c r="L329" i="21"/>
  <c r="O329" i="21" s="1"/>
  <c r="O331" i="21"/>
  <c r="L94" i="21"/>
  <c r="O94" i="21" s="1"/>
  <c r="O96" i="21"/>
  <c r="M9" i="20"/>
  <c r="P11" i="20"/>
  <c r="O98" i="19"/>
  <c r="L96" i="19"/>
  <c r="P19" i="19"/>
  <c r="O24" i="18"/>
  <c r="L14" i="18"/>
  <c r="O14" i="18" s="1"/>
  <c r="O224" i="18"/>
  <c r="L222" i="18"/>
  <c r="L224" i="1"/>
  <c r="O224" i="1" s="1"/>
  <c r="P22" i="18"/>
  <c r="M12" i="18"/>
  <c r="M20" i="18"/>
  <c r="O142" i="16"/>
  <c r="L140" i="16"/>
  <c r="O140" i="16" s="1"/>
  <c r="P53" i="17"/>
  <c r="P9" i="17"/>
  <c r="O31" i="16"/>
  <c r="L29" i="16"/>
  <c r="L11" i="16"/>
  <c r="O57" i="16"/>
  <c r="L22" i="16"/>
  <c r="L55" i="16"/>
  <c r="M41" i="15"/>
  <c r="P22" i="17"/>
  <c r="M12" i="17"/>
  <c r="O640" i="13"/>
  <c r="L638" i="13"/>
  <c r="N20" i="13"/>
  <c r="N18" i="13" s="1"/>
  <c r="P292" i="13"/>
  <c r="M290" i="13"/>
  <c r="P290" i="13" s="1"/>
  <c r="M41" i="13"/>
  <c r="P19" i="12"/>
  <c r="O331" i="11"/>
  <c r="L329" i="11"/>
  <c r="O329" i="11" s="1"/>
  <c r="M53" i="12"/>
  <c r="P53" i="12" s="1"/>
  <c r="L55" i="12"/>
  <c r="O57" i="12"/>
  <c r="P29" i="11"/>
  <c r="M28" i="11"/>
  <c r="P28" i="11" s="1"/>
  <c r="L16" i="10"/>
  <c r="O16" i="10" s="1"/>
  <c r="O26" i="10"/>
  <c r="O55" i="13"/>
  <c r="L53" i="13"/>
  <c r="O24" i="10"/>
  <c r="L14" i="10"/>
  <c r="O14" i="10" s="1"/>
  <c r="M94" i="11"/>
  <c r="P94" i="11" s="1"/>
  <c r="P96" i="11"/>
  <c r="N20" i="8"/>
  <c r="N18" i="8" s="1"/>
  <c r="N12" i="8"/>
  <c r="N10" i="8" s="1"/>
  <c r="P142" i="7"/>
  <c r="M140" i="7"/>
  <c r="P140" i="7" s="1"/>
  <c r="M142" i="1"/>
  <c r="O640" i="10"/>
  <c r="L638" i="10"/>
  <c r="L22" i="9"/>
  <c r="P22" i="10"/>
  <c r="M12" i="10"/>
  <c r="M20" i="10"/>
  <c r="L16" i="8"/>
  <c r="O16" i="8" s="1"/>
  <c r="O26" i="8"/>
  <c r="P142" i="9"/>
  <c r="M140" i="9"/>
  <c r="P140" i="9" s="1"/>
  <c r="O23" i="5"/>
  <c r="L13" i="5"/>
  <c r="O13" i="5" s="1"/>
  <c r="L14" i="9"/>
  <c r="O14" i="9" s="1"/>
  <c r="P49" i="7"/>
  <c r="M26" i="7"/>
  <c r="M20" i="7" s="1"/>
  <c r="O222" i="8"/>
  <c r="L220" i="8"/>
  <c r="O220" i="8" s="1"/>
  <c r="O640" i="5"/>
  <c r="L638" i="5"/>
  <c r="O273" i="7"/>
  <c r="L271" i="7"/>
  <c r="O271" i="7" s="1"/>
  <c r="M140" i="12"/>
  <c r="P140" i="12" s="1"/>
  <c r="P142" i="12"/>
  <c r="O142" i="8"/>
  <c r="L140" i="8"/>
  <c r="O140" i="8" s="1"/>
  <c r="L96" i="7"/>
  <c r="O98" i="7"/>
  <c r="P49" i="5"/>
  <c r="M26" i="5"/>
  <c r="M43" i="5"/>
  <c r="M49" i="1"/>
  <c r="M96" i="9"/>
  <c r="O31" i="8"/>
  <c r="L29" i="8"/>
  <c r="L11" i="8"/>
  <c r="P29" i="3"/>
  <c r="M28" i="3"/>
  <c r="P28" i="3" s="1"/>
  <c r="L43" i="8"/>
  <c r="L22" i="8"/>
  <c r="O45" i="8"/>
  <c r="O68" i="7"/>
  <c r="L66" i="7"/>
  <c r="O66" i="7" s="1"/>
  <c r="P26" i="4"/>
  <c r="M16" i="4"/>
  <c r="P16" i="4" s="1"/>
  <c r="P220" i="2"/>
  <c r="L96" i="3"/>
  <c r="O98" i="3"/>
  <c r="L98" i="1"/>
  <c r="O98" i="1" s="1"/>
  <c r="O665" i="1"/>
  <c r="P120" i="4"/>
  <c r="M120" i="1"/>
  <c r="M118" i="4"/>
  <c r="O310" i="3"/>
  <c r="O31" i="2"/>
  <c r="L29" i="2"/>
  <c r="N310" i="1"/>
  <c r="P222" i="4"/>
  <c r="M220" i="4"/>
  <c r="P220" i="4" s="1"/>
  <c r="K429" i="1"/>
  <c r="K381" i="1"/>
  <c r="O57" i="2"/>
  <c r="L55" i="2"/>
  <c r="L57" i="1"/>
  <c r="O19" i="4"/>
  <c r="P55" i="3"/>
  <c r="L22" i="2"/>
  <c r="O26" i="20"/>
  <c r="L16" i="20"/>
  <c r="O16" i="20" s="1"/>
  <c r="O41" i="19"/>
  <c r="P19" i="16"/>
  <c r="O32" i="16"/>
  <c r="L30" i="16"/>
  <c r="O30" i="16" s="1"/>
  <c r="P26" i="14"/>
  <c r="M16" i="14"/>
  <c r="P16" i="14" s="1"/>
  <c r="L30" i="14"/>
  <c r="O30" i="14" s="1"/>
  <c r="O32" i="14"/>
  <c r="O640" i="12"/>
  <c r="L638" i="12"/>
  <c r="O31" i="14"/>
  <c r="L29" i="14"/>
  <c r="L11" i="14"/>
  <c r="O24" i="11"/>
  <c r="L14" i="11"/>
  <c r="O14" i="11" s="1"/>
  <c r="O122" i="9"/>
  <c r="L120" i="9"/>
  <c r="L14" i="6"/>
  <c r="O14" i="6" s="1"/>
  <c r="O32" i="4"/>
  <c r="L30" i="4"/>
  <c r="O30" i="4" s="1"/>
  <c r="O640" i="4"/>
  <c r="L638" i="4"/>
  <c r="O11" i="2"/>
  <c r="L9" i="2"/>
  <c r="L310" i="8"/>
  <c r="O310" i="8" s="1"/>
  <c r="O312" i="8"/>
  <c r="O24" i="2"/>
  <c r="L14" i="2"/>
  <c r="O14" i="2" s="1"/>
  <c r="L30" i="7"/>
  <c r="O30" i="7" s="1"/>
  <c r="O32" i="7"/>
  <c r="O254" i="5"/>
  <c r="L252" i="5"/>
  <c r="L22" i="5"/>
  <c r="O290" i="2"/>
  <c r="L640" i="1"/>
  <c r="O648" i="1"/>
  <c r="O68" i="21"/>
  <c r="L66" i="21"/>
  <c r="O66" i="21" s="1"/>
  <c r="P9" i="21"/>
  <c r="O11" i="20"/>
  <c r="L9" i="20"/>
  <c r="P41" i="19"/>
  <c r="P22" i="19"/>
  <c r="M12" i="19"/>
  <c r="O640" i="18"/>
  <c r="L638" i="18"/>
  <c r="M9" i="19"/>
  <c r="P11" i="19"/>
  <c r="O43" i="19"/>
  <c r="O23" i="18"/>
  <c r="L13" i="18"/>
  <c r="O13" i="18" s="1"/>
  <c r="L30" i="17"/>
  <c r="O30" i="17" s="1"/>
  <c r="O32" i="17"/>
  <c r="O23" i="15"/>
  <c r="L13" i="15"/>
  <c r="O13" i="15" s="1"/>
  <c r="P41" i="18"/>
  <c r="M271" i="16"/>
  <c r="P271" i="16" s="1"/>
  <c r="O640" i="15"/>
  <c r="L638" i="15"/>
  <c r="N20" i="19"/>
  <c r="N18" i="19" s="1"/>
  <c r="M53" i="16"/>
  <c r="P53" i="16" s="1"/>
  <c r="P22" i="15"/>
  <c r="M12" i="15"/>
  <c r="O26" i="15"/>
  <c r="L16" i="15"/>
  <c r="O16" i="15" s="1"/>
  <c r="O312" i="17"/>
  <c r="L310" i="17"/>
  <c r="O310" i="17" s="1"/>
  <c r="O312" i="13"/>
  <c r="L310" i="13"/>
  <c r="O310" i="13" s="1"/>
  <c r="P26" i="16"/>
  <c r="M16" i="16"/>
  <c r="P16" i="16" s="1"/>
  <c r="O640" i="14"/>
  <c r="L638" i="14"/>
  <c r="P142" i="14"/>
  <c r="N140" i="14"/>
  <c r="O331" i="14"/>
  <c r="P11" i="12"/>
  <c r="M9" i="12"/>
  <c r="N12" i="14"/>
  <c r="N10" i="14" s="1"/>
  <c r="N20" i="14"/>
  <c r="N18" i="14" s="1"/>
  <c r="O31" i="12"/>
  <c r="L29" i="12"/>
  <c r="O19" i="13"/>
  <c r="O26" i="12"/>
  <c r="L16" i="12"/>
  <c r="L14" i="12"/>
  <c r="O14" i="12" s="1"/>
  <c r="O24" i="12"/>
  <c r="O23" i="12"/>
  <c r="L13" i="12"/>
  <c r="O13" i="12" s="1"/>
  <c r="O19" i="10"/>
  <c r="O292" i="11"/>
  <c r="L290" i="11"/>
  <c r="O290" i="11" s="1"/>
  <c r="P74" i="9"/>
  <c r="M26" i="9"/>
  <c r="M20" i="9" s="1"/>
  <c r="O31" i="7"/>
  <c r="L29" i="7"/>
  <c r="L11" i="7"/>
  <c r="P22" i="11"/>
  <c r="M12" i="11"/>
  <c r="M20" i="11"/>
  <c r="M26" i="6"/>
  <c r="M20" i="6" s="1"/>
  <c r="M43" i="6"/>
  <c r="P49" i="6"/>
  <c r="M41" i="10"/>
  <c r="P43" i="10"/>
  <c r="P9" i="7"/>
  <c r="P11" i="5"/>
  <c r="M9" i="5"/>
  <c r="O32" i="9"/>
  <c r="L30" i="9"/>
  <c r="O30" i="9" s="1"/>
  <c r="P53" i="8"/>
  <c r="N20" i="6"/>
  <c r="N18" i="6" s="1"/>
  <c r="N12" i="6"/>
  <c r="N10" i="6" s="1"/>
  <c r="N8" i="6" s="1"/>
  <c r="N9" i="10"/>
  <c r="O331" i="6"/>
  <c r="L329" i="6"/>
  <c r="O329" i="6" s="1"/>
  <c r="L22" i="7"/>
  <c r="N12" i="5"/>
  <c r="N20" i="5"/>
  <c r="N18" i="5" s="1"/>
  <c r="P22" i="5"/>
  <c r="O26" i="5"/>
  <c r="L16" i="5"/>
  <c r="O16" i="5" s="1"/>
  <c r="P43" i="4"/>
  <c r="M41" i="4"/>
  <c r="P22" i="3"/>
  <c r="M12" i="3"/>
  <c r="P96" i="8"/>
  <c r="M94" i="8"/>
  <c r="O638" i="7"/>
  <c r="L636" i="7"/>
  <c r="O636" i="7" s="1"/>
  <c r="M96" i="3"/>
  <c r="M102" i="1"/>
  <c r="P102" i="1" s="1"/>
  <c r="P102" i="3"/>
  <c r="O19" i="2"/>
  <c r="P53" i="3"/>
  <c r="O24" i="5"/>
  <c r="L14" i="5"/>
  <c r="O14" i="5" s="1"/>
  <c r="O273" i="3"/>
  <c r="P273" i="3"/>
  <c r="N273" i="1"/>
  <c r="P222" i="2"/>
  <c r="M222" i="1"/>
  <c r="K595" i="1"/>
  <c r="L11" i="6"/>
  <c r="O31" i="6"/>
  <c r="L29" i="6"/>
  <c r="L41" i="4"/>
  <c r="O252" i="2"/>
  <c r="N252" i="1"/>
  <c r="N29" i="2"/>
  <c r="N28" i="2" s="1"/>
  <c r="N11" i="2"/>
  <c r="N9" i="2" s="1"/>
  <c r="L9" i="4"/>
  <c r="O11" i="4"/>
  <c r="N142" i="1"/>
  <c r="K380" i="1"/>
  <c r="P19" i="1"/>
  <c r="L290" i="20"/>
  <c r="O290" i="20" s="1"/>
  <c r="N329" i="17"/>
  <c r="O329" i="17" s="1"/>
  <c r="P41" i="14"/>
  <c r="O31" i="11"/>
  <c r="L11" i="11"/>
  <c r="L29" i="11"/>
  <c r="P9" i="11"/>
  <c r="P16" i="8"/>
  <c r="P96" i="5"/>
  <c r="M94" i="5"/>
  <c r="P94" i="5" s="1"/>
  <c r="O271" i="3"/>
  <c r="P22" i="21"/>
  <c r="M12" i="21"/>
  <c r="M20" i="21"/>
  <c r="P43" i="21"/>
  <c r="M41" i="21"/>
  <c r="O640" i="20"/>
  <c r="L638" i="20"/>
  <c r="M53" i="20"/>
  <c r="P53" i="20" s="1"/>
  <c r="N11" i="19"/>
  <c r="N9" i="19" s="1"/>
  <c r="L118" i="20"/>
  <c r="O118" i="20" s="1"/>
  <c r="L250" i="16"/>
  <c r="O250" i="16" s="1"/>
  <c r="P331" i="17"/>
  <c r="O640" i="16"/>
  <c r="L638" i="16"/>
  <c r="O31" i="17"/>
  <c r="L29" i="17"/>
  <c r="O331" i="15"/>
  <c r="L329" i="15"/>
  <c r="O329" i="15" s="1"/>
  <c r="N20" i="15"/>
  <c r="N18" i="15" s="1"/>
  <c r="N12" i="15"/>
  <c r="N10" i="15" s="1"/>
  <c r="O24" i="16"/>
  <c r="L14" i="16"/>
  <c r="O14" i="16" s="1"/>
  <c r="L271" i="16"/>
  <c r="O271" i="16" s="1"/>
  <c r="P222" i="14"/>
  <c r="M220" i="14"/>
  <c r="P220" i="14" s="1"/>
  <c r="M9" i="14"/>
  <c r="P11" i="14"/>
  <c r="P22" i="13"/>
  <c r="M12" i="13"/>
  <c r="O275" i="13"/>
  <c r="L273" i="13"/>
  <c r="L275" i="1"/>
  <c r="O275" i="1" s="1"/>
  <c r="L66" i="13"/>
  <c r="O66" i="13" s="1"/>
  <c r="L118" i="12"/>
  <c r="O118" i="12" s="1"/>
  <c r="O26" i="13"/>
  <c r="L16" i="13"/>
  <c r="O16" i="13" s="1"/>
  <c r="O96" i="12"/>
  <c r="L94" i="12"/>
  <c r="O94" i="12" s="1"/>
  <c r="L9" i="10"/>
  <c r="O11" i="10"/>
  <c r="M96" i="7"/>
  <c r="O19" i="7"/>
  <c r="O314" i="10"/>
  <c r="L312" i="10"/>
  <c r="P43" i="7"/>
  <c r="M68" i="9"/>
  <c r="L22" i="10"/>
  <c r="P55" i="8"/>
  <c r="P29" i="6"/>
  <c r="M28" i="6"/>
  <c r="P28" i="6" s="1"/>
  <c r="O638" i="9"/>
  <c r="L636" i="9"/>
  <c r="O636" i="9" s="1"/>
  <c r="M140" i="8"/>
  <c r="P140" i="8" s="1"/>
  <c r="O19" i="9"/>
  <c r="N120" i="1"/>
  <c r="P11" i="8"/>
  <c r="M9" i="8"/>
  <c r="L250" i="4"/>
  <c r="O250" i="4" s="1"/>
  <c r="O11" i="9"/>
  <c r="L9" i="9"/>
  <c r="O23" i="4"/>
  <c r="L13" i="4"/>
  <c r="O13" i="4" s="1"/>
  <c r="P15" i="3"/>
  <c r="M9" i="3"/>
  <c r="M331" i="3"/>
  <c r="P337" i="3"/>
  <c r="P22" i="12"/>
  <c r="M12" i="12"/>
  <c r="M20" i="12"/>
  <c r="O53" i="7"/>
  <c r="O292" i="5"/>
  <c r="L290" i="5"/>
  <c r="O290" i="5" s="1"/>
  <c r="P43" i="2"/>
  <c r="M41" i="2"/>
  <c r="O68" i="5"/>
  <c r="N68" i="1"/>
  <c r="N11" i="4"/>
  <c r="N9" i="4" s="1"/>
  <c r="L11" i="3"/>
  <c r="O31" i="3"/>
  <c r="L29" i="3"/>
  <c r="N20" i="3"/>
  <c r="N18" i="3" s="1"/>
  <c r="N12" i="3"/>
  <c r="N10" i="3" s="1"/>
  <c r="K285" i="1"/>
  <c r="N32" i="1"/>
  <c r="P329" i="6"/>
  <c r="N12" i="4"/>
  <c r="N10" i="4" s="1"/>
  <c r="K591" i="1"/>
  <c r="L22" i="3"/>
  <c r="K427" i="1"/>
  <c r="O26" i="6"/>
  <c r="L16" i="6"/>
  <c r="O16" i="6" s="1"/>
  <c r="P22" i="2"/>
  <c r="M12" i="2"/>
  <c r="K589" i="1"/>
  <c r="P11" i="1"/>
  <c r="M9" i="1"/>
  <c r="P22" i="20"/>
  <c r="M12" i="20"/>
  <c r="O70" i="19"/>
  <c r="L68" i="19"/>
  <c r="L70" i="1"/>
  <c r="O70" i="1" s="1"/>
  <c r="N20" i="11"/>
  <c r="N18" i="11" s="1"/>
  <c r="N12" i="11"/>
  <c r="N10" i="11" s="1"/>
  <c r="P22" i="6"/>
  <c r="M12" i="6"/>
  <c r="M53" i="4"/>
  <c r="P53" i="4" s="1"/>
  <c r="P55" i="4"/>
  <c r="O24" i="8"/>
  <c r="L14" i="8"/>
  <c r="O14" i="8" s="1"/>
  <c r="N12" i="2"/>
  <c r="N10" i="2" s="1"/>
  <c r="N20" i="2"/>
  <c r="N18" i="2" s="1"/>
  <c r="O292" i="2"/>
  <c r="P271" i="3"/>
  <c r="L118" i="21"/>
  <c r="O118" i="21" s="1"/>
  <c r="O292" i="21"/>
  <c r="L290" i="21"/>
  <c r="O290" i="21" s="1"/>
  <c r="O70" i="20"/>
  <c r="L68" i="20"/>
  <c r="L13" i="19"/>
  <c r="O13" i="19" s="1"/>
  <c r="O23" i="19"/>
  <c r="O19" i="18"/>
  <c r="P29" i="18"/>
  <c r="M28" i="18"/>
  <c r="P28" i="18" s="1"/>
  <c r="O254" i="17"/>
  <c r="L252" i="17"/>
  <c r="L22" i="17"/>
  <c r="O26" i="17"/>
  <c r="L16" i="17"/>
  <c r="O16" i="17" s="1"/>
  <c r="O331" i="16"/>
  <c r="L329" i="16"/>
  <c r="O329" i="16" s="1"/>
  <c r="L9" i="17"/>
  <c r="O11" i="17"/>
  <c r="O32" i="15"/>
  <c r="M9" i="16"/>
  <c r="P11" i="16"/>
  <c r="N12" i="17"/>
  <c r="N10" i="17" s="1"/>
  <c r="N20" i="17"/>
  <c r="N18" i="17" s="1"/>
  <c r="O57" i="15"/>
  <c r="L22" i="15"/>
  <c r="L55" i="15"/>
  <c r="P22" i="16"/>
  <c r="M12" i="16"/>
  <c r="M20" i="16"/>
  <c r="N29" i="15"/>
  <c r="N28" i="15" s="1"/>
  <c r="N11" i="15"/>
  <c r="N9" i="15" s="1"/>
  <c r="O292" i="15"/>
  <c r="L290" i="15"/>
  <c r="O290" i="15" s="1"/>
  <c r="L14" i="14"/>
  <c r="O14" i="14" s="1"/>
  <c r="L55" i="14"/>
  <c r="O57" i="14"/>
  <c r="P29" i="13"/>
  <c r="M28" i="13"/>
  <c r="P28" i="13" s="1"/>
  <c r="O19" i="12"/>
  <c r="O640" i="11"/>
  <c r="L638" i="11"/>
  <c r="N29" i="14"/>
  <c r="N28" i="14" s="1"/>
  <c r="N11" i="14"/>
  <c r="N9" i="14" s="1"/>
  <c r="P43" i="12"/>
  <c r="M41" i="12"/>
  <c r="N20" i="10"/>
  <c r="N18" i="10" s="1"/>
  <c r="N12" i="10"/>
  <c r="N10" i="10" s="1"/>
  <c r="O32" i="11"/>
  <c r="L30" i="11"/>
  <c r="O30" i="11" s="1"/>
  <c r="M16" i="10"/>
  <c r="P16" i="10" s="1"/>
  <c r="P26" i="10"/>
  <c r="P29" i="10"/>
  <c r="M28" i="10"/>
  <c r="P28" i="10" s="1"/>
  <c r="O32" i="10"/>
  <c r="L30" i="10"/>
  <c r="O640" i="8"/>
  <c r="L638" i="8"/>
  <c r="P96" i="10"/>
  <c r="O96" i="10"/>
  <c r="N96" i="1"/>
  <c r="N94" i="10"/>
  <c r="P22" i="7"/>
  <c r="M12" i="7"/>
  <c r="P331" i="5"/>
  <c r="M329" i="5"/>
  <c r="P329" i="5" s="1"/>
  <c r="O34" i="10"/>
  <c r="P26" i="8"/>
  <c r="N29" i="5"/>
  <c r="N28" i="5" s="1"/>
  <c r="N11" i="5"/>
  <c r="N9" i="5" s="1"/>
  <c r="O23" i="9"/>
  <c r="L13" i="9"/>
  <c r="O13" i="9" s="1"/>
  <c r="O30" i="8"/>
  <c r="P9" i="6"/>
  <c r="N12" i="9"/>
  <c r="N10" i="9" s="1"/>
  <c r="N20" i="9"/>
  <c r="N18" i="9" s="1"/>
  <c r="M41" i="7"/>
  <c r="O16" i="4"/>
  <c r="O57" i="8"/>
  <c r="L55" i="8"/>
  <c r="O142" i="6"/>
  <c r="L140" i="6"/>
  <c r="O140" i="6" s="1"/>
  <c r="O34" i="4"/>
  <c r="L14" i="4"/>
  <c r="O14" i="4" s="1"/>
  <c r="N20" i="4"/>
  <c r="N18" i="4" s="1"/>
  <c r="O329" i="2"/>
  <c r="O26" i="2"/>
  <c r="L16" i="2"/>
  <c r="O16" i="2" s="1"/>
  <c r="N638" i="3"/>
  <c r="O640" i="3"/>
  <c r="L32" i="1"/>
  <c r="O383" i="1"/>
  <c r="O23" i="3"/>
  <c r="L13" i="3"/>
  <c r="O13" i="3" s="1"/>
  <c r="O252" i="3"/>
  <c r="P252" i="3"/>
  <c r="M252" i="1"/>
  <c r="O351" i="1"/>
  <c r="L31" i="1"/>
  <c r="L11" i="1" s="1"/>
  <c r="K417" i="1"/>
  <c r="L30" i="2"/>
  <c r="O30" i="2" s="1"/>
  <c r="O32" i="2"/>
  <c r="P310" i="2"/>
  <c r="K421" i="1"/>
  <c r="O55" i="3"/>
  <c r="M22" i="1"/>
  <c r="P337" i="20"/>
  <c r="M331" i="20"/>
  <c r="M26" i="20"/>
  <c r="O98" i="20"/>
  <c r="L96" i="20"/>
  <c r="O26" i="18"/>
  <c r="L16" i="18"/>
  <c r="O16" i="18" s="1"/>
  <c r="M28" i="15"/>
  <c r="P28" i="15" s="1"/>
  <c r="P30" i="15"/>
  <c r="O19" i="17"/>
  <c r="O26" i="14"/>
  <c r="L16" i="14"/>
  <c r="O16" i="14" s="1"/>
  <c r="M28" i="8"/>
  <c r="P28" i="8" s="1"/>
  <c r="P29" i="8"/>
  <c r="O222" i="6"/>
  <c r="L220" i="6"/>
  <c r="O220" i="6" s="1"/>
  <c r="O638" i="21"/>
  <c r="L636" i="21"/>
  <c r="O636" i="21" s="1"/>
  <c r="O26" i="21"/>
  <c r="L16" i="21"/>
  <c r="O16" i="21" s="1"/>
  <c r="O30" i="20"/>
  <c r="O640" i="19"/>
  <c r="L638" i="19"/>
  <c r="O23" i="20"/>
  <c r="L13" i="20"/>
  <c r="O13" i="20" s="1"/>
  <c r="P19" i="20"/>
  <c r="P55" i="19"/>
  <c r="M53" i="19"/>
  <c r="P53" i="19" s="1"/>
  <c r="O26" i="19"/>
  <c r="L16" i="19"/>
  <c r="O16" i="19" s="1"/>
  <c r="P43" i="19"/>
  <c r="P9" i="18"/>
  <c r="O23" i="17"/>
  <c r="L13" i="17"/>
  <c r="O13" i="17" s="1"/>
  <c r="P49" i="17"/>
  <c r="M26" i="17"/>
  <c r="M20" i="17" s="1"/>
  <c r="P68" i="18"/>
  <c r="M66" i="18"/>
  <c r="P66" i="18" s="1"/>
  <c r="O640" i="17"/>
  <c r="L638" i="17"/>
  <c r="L14" i="17"/>
  <c r="O14" i="17" s="1"/>
  <c r="O24" i="17"/>
  <c r="O96" i="18"/>
  <c r="L94" i="18"/>
  <c r="O94" i="18" s="1"/>
  <c r="O55" i="17"/>
  <c r="L53" i="17"/>
  <c r="O53" i="17" s="1"/>
  <c r="O31" i="15"/>
  <c r="L29" i="15"/>
  <c r="L11" i="15"/>
  <c r="P19" i="15"/>
  <c r="L22" i="18"/>
  <c r="O68" i="17"/>
  <c r="L66" i="17"/>
  <c r="M329" i="17"/>
  <c r="N20" i="16"/>
  <c r="N18" i="16" s="1"/>
  <c r="O24" i="15"/>
  <c r="L14" i="15"/>
  <c r="O14" i="15" s="1"/>
  <c r="O19" i="15"/>
  <c r="M20" i="14"/>
  <c r="M12" i="14"/>
  <c r="P22" i="14"/>
  <c r="L118" i="14"/>
  <c r="O118" i="14" s="1"/>
  <c r="L13" i="14"/>
  <c r="O13" i="14" s="1"/>
  <c r="O23" i="14"/>
  <c r="P9" i="13"/>
  <c r="O24" i="13"/>
  <c r="L14" i="13"/>
  <c r="O14" i="13" s="1"/>
  <c r="L9" i="12"/>
  <c r="O11" i="12"/>
  <c r="O45" i="12"/>
  <c r="L22" i="12"/>
  <c r="L43" i="12"/>
  <c r="M16" i="11"/>
  <c r="P16" i="11" s="1"/>
  <c r="P26" i="11"/>
  <c r="M329" i="10"/>
  <c r="P329" i="10" s="1"/>
  <c r="P331" i="10"/>
  <c r="P273" i="11"/>
  <c r="M271" i="11"/>
  <c r="P271" i="11" s="1"/>
  <c r="M273" i="1"/>
  <c r="O23" i="10"/>
  <c r="L13" i="10"/>
  <c r="O13" i="10" s="1"/>
  <c r="O26" i="9"/>
  <c r="L16" i="9"/>
  <c r="O16" i="9" s="1"/>
  <c r="M20" i="8"/>
  <c r="P22" i="8"/>
  <c r="M12" i="8"/>
  <c r="O26" i="11"/>
  <c r="L16" i="11"/>
  <c r="O16" i="11" s="1"/>
  <c r="M28" i="9"/>
  <c r="P28" i="9" s="1"/>
  <c r="P29" i="9"/>
  <c r="P19" i="9"/>
  <c r="O26" i="7"/>
  <c r="L16" i="7"/>
  <c r="O16" i="7" s="1"/>
  <c r="N29" i="7"/>
  <c r="N28" i="7" s="1"/>
  <c r="N11" i="7"/>
  <c r="N9" i="7" s="1"/>
  <c r="L14" i="7"/>
  <c r="O14" i="7" s="1"/>
  <c r="O32" i="8"/>
  <c r="O32" i="6"/>
  <c r="L30" i="6"/>
  <c r="O30" i="6" s="1"/>
  <c r="N12" i="12"/>
  <c r="N20" i="12"/>
  <c r="N18" i="12" s="1"/>
  <c r="O23" i="7"/>
  <c r="L13" i="7"/>
  <c r="O13" i="7" s="1"/>
  <c r="M9" i="9"/>
  <c r="O314" i="5"/>
  <c r="L312" i="5"/>
  <c r="P11" i="4"/>
  <c r="M9" i="4"/>
  <c r="O23" i="8"/>
  <c r="L13" i="8"/>
  <c r="O13" i="8" s="1"/>
  <c r="M94" i="6"/>
  <c r="P94" i="6" s="1"/>
  <c r="P331" i="4"/>
  <c r="N331" i="1"/>
  <c r="P19" i="4"/>
  <c r="M68" i="3"/>
  <c r="P74" i="3"/>
  <c r="M26" i="3"/>
  <c r="M20" i="3" s="1"/>
  <c r="M74" i="1"/>
  <c r="P74" i="1" s="1"/>
  <c r="P290" i="2"/>
  <c r="L254" i="1"/>
  <c r="O254" i="1" s="1"/>
  <c r="O26" i="4"/>
  <c r="O640" i="2"/>
  <c r="L638" i="2"/>
  <c r="L33" i="1"/>
  <c r="O33" i="1" s="1"/>
  <c r="O353" i="1"/>
  <c r="N55" i="1"/>
  <c r="N26" i="1"/>
  <c r="O68" i="4"/>
  <c r="M292" i="1"/>
  <c r="O23" i="2"/>
  <c r="L13" i="2"/>
  <c r="O13" i="2" s="1"/>
  <c r="N37" i="6"/>
  <c r="O312" i="3"/>
  <c r="L19" i="1"/>
  <c r="O21" i="1"/>
  <c r="O385" i="1"/>
  <c r="L34" i="1"/>
  <c r="L45" i="1"/>
  <c r="O66" i="10" l="1"/>
  <c r="L41" i="18"/>
  <c r="L41" i="10"/>
  <c r="O41" i="10" s="1"/>
  <c r="L329" i="4"/>
  <c r="O329" i="4" s="1"/>
  <c r="O142" i="15"/>
  <c r="O140" i="13"/>
  <c r="O142" i="13"/>
  <c r="N37" i="8"/>
  <c r="L329" i="18"/>
  <c r="O329" i="18" s="1"/>
  <c r="L271" i="15"/>
  <c r="O271" i="15" s="1"/>
  <c r="L118" i="7"/>
  <c r="O118" i="7" s="1"/>
  <c r="L66" i="16"/>
  <c r="O66" i="16" s="1"/>
  <c r="L290" i="19"/>
  <c r="O290" i="19" s="1"/>
  <c r="N8" i="9"/>
  <c r="O331" i="7"/>
  <c r="M20" i="15"/>
  <c r="M18" i="15" s="1"/>
  <c r="P18" i="15" s="1"/>
  <c r="N118" i="1"/>
  <c r="P26" i="15"/>
  <c r="L53" i="5"/>
  <c r="O53" i="5" s="1"/>
  <c r="L66" i="3"/>
  <c r="O66" i="3" s="1"/>
  <c r="L220" i="20"/>
  <c r="O220" i="20" s="1"/>
  <c r="L310" i="12"/>
  <c r="O310" i="12" s="1"/>
  <c r="P41" i="3"/>
  <c r="L12" i="4"/>
  <c r="L10" i="4" s="1"/>
  <c r="O10" i="4" s="1"/>
  <c r="L271" i="5"/>
  <c r="O271" i="5" s="1"/>
  <c r="L41" i="2"/>
  <c r="O41" i="2" s="1"/>
  <c r="O292" i="7"/>
  <c r="N8" i="8"/>
  <c r="N37" i="20"/>
  <c r="L53" i="20"/>
  <c r="O53" i="20" s="1"/>
  <c r="M20" i="19"/>
  <c r="P20" i="19" s="1"/>
  <c r="L220" i="21"/>
  <c r="O220" i="21" s="1"/>
  <c r="O41" i="20"/>
  <c r="O120" i="8"/>
  <c r="O222" i="12"/>
  <c r="O222" i="2"/>
  <c r="O96" i="9"/>
  <c r="O312" i="18"/>
  <c r="L53" i="11"/>
  <c r="O53" i="11" s="1"/>
  <c r="L94" i="2"/>
  <c r="O94" i="2" s="1"/>
  <c r="O43" i="13"/>
  <c r="L140" i="14"/>
  <c r="O140" i="14" s="1"/>
  <c r="L53" i="18"/>
  <c r="O53" i="18" s="1"/>
  <c r="O222" i="16"/>
  <c r="O96" i="13"/>
  <c r="L310" i="15"/>
  <c r="O310" i="15" s="1"/>
  <c r="O22" i="13"/>
  <c r="L41" i="7"/>
  <c r="O41" i="7" s="1"/>
  <c r="L41" i="9"/>
  <c r="O41" i="9" s="1"/>
  <c r="L140" i="7"/>
  <c r="O140" i="7" s="1"/>
  <c r="L53" i="4"/>
  <c r="O53" i="4" s="1"/>
  <c r="L94" i="6"/>
  <c r="O94" i="6" s="1"/>
  <c r="L41" i="15"/>
  <c r="O41" i="15" s="1"/>
  <c r="L250" i="21"/>
  <c r="O250" i="21" s="1"/>
  <c r="N37" i="11"/>
  <c r="O118" i="11"/>
  <c r="O96" i="11"/>
  <c r="L310" i="6"/>
  <c r="O310" i="6" s="1"/>
  <c r="L41" i="14"/>
  <c r="O41" i="14" s="1"/>
  <c r="L329" i="13"/>
  <c r="O329" i="13" s="1"/>
  <c r="L310" i="16"/>
  <c r="O310" i="16" s="1"/>
  <c r="N37" i="19"/>
  <c r="L220" i="19"/>
  <c r="O220" i="19" s="1"/>
  <c r="L636" i="6"/>
  <c r="O636" i="6" s="1"/>
  <c r="L41" i="6"/>
  <c r="O41" i="6" s="1"/>
  <c r="L250" i="7"/>
  <c r="O250" i="7" s="1"/>
  <c r="L53" i="6"/>
  <c r="O53" i="6" s="1"/>
  <c r="L220" i="11"/>
  <c r="O220" i="11" s="1"/>
  <c r="L250" i="18"/>
  <c r="O250" i="18" s="1"/>
  <c r="N94" i="1"/>
  <c r="L12" i="13"/>
  <c r="L10" i="13" s="1"/>
  <c r="L250" i="13"/>
  <c r="O250" i="13" s="1"/>
  <c r="L290" i="18"/>
  <c r="O290" i="18" s="1"/>
  <c r="P94" i="17"/>
  <c r="O120" i="5"/>
  <c r="L118" i="2"/>
  <c r="O118" i="2" s="1"/>
  <c r="N37" i="7"/>
  <c r="L271" i="20"/>
  <c r="O271" i="20" s="1"/>
  <c r="L41" i="11"/>
  <c r="O41" i="11" s="1"/>
  <c r="O331" i="8"/>
  <c r="O26" i="1"/>
  <c r="L250" i="19"/>
  <c r="O250" i="19" s="1"/>
  <c r="L290" i="8"/>
  <c r="O290" i="8" s="1"/>
  <c r="L53" i="10"/>
  <c r="O53" i="10" s="1"/>
  <c r="P331" i="19"/>
  <c r="L290" i="16"/>
  <c r="O290" i="16" s="1"/>
  <c r="O14" i="21"/>
  <c r="N37" i="21"/>
  <c r="L250" i="10"/>
  <c r="O250" i="10" s="1"/>
  <c r="L290" i="13"/>
  <c r="O290" i="13" s="1"/>
  <c r="L310" i="11"/>
  <c r="O310" i="11" s="1"/>
  <c r="L310" i="4"/>
  <c r="O310" i="4" s="1"/>
  <c r="O120" i="3"/>
  <c r="O331" i="20"/>
  <c r="L140" i="12"/>
  <c r="O140" i="12" s="1"/>
  <c r="L66" i="2"/>
  <c r="O66" i="2" s="1"/>
  <c r="O142" i="19"/>
  <c r="O22" i="14"/>
  <c r="O142" i="5"/>
  <c r="O273" i="8"/>
  <c r="L271" i="8"/>
  <c r="O271" i="8" s="1"/>
  <c r="L20" i="4"/>
  <c r="L18" i="4" s="1"/>
  <c r="O18" i="4" s="1"/>
  <c r="L290" i="14"/>
  <c r="O290" i="14" s="1"/>
  <c r="O22" i="21"/>
  <c r="L250" i="11"/>
  <c r="O250" i="11" s="1"/>
  <c r="N11" i="1"/>
  <c r="N9" i="1" s="1"/>
  <c r="M16" i="19"/>
  <c r="P16" i="19" s="1"/>
  <c r="L310" i="14"/>
  <c r="O310" i="14" s="1"/>
  <c r="O142" i="17"/>
  <c r="P250" i="14"/>
  <c r="L290" i="12"/>
  <c r="O290" i="12" s="1"/>
  <c r="L271" i="11"/>
  <c r="O271" i="11" s="1"/>
  <c r="O331" i="9"/>
  <c r="L41" i="5"/>
  <c r="O41" i="5" s="1"/>
  <c r="O331" i="12"/>
  <c r="O220" i="12"/>
  <c r="O142" i="4"/>
  <c r="L66" i="6"/>
  <c r="O66" i="6" s="1"/>
  <c r="L118" i="4"/>
  <c r="O118" i="4" s="1"/>
  <c r="L220" i="14"/>
  <c r="O220" i="14" s="1"/>
  <c r="N8" i="13"/>
  <c r="N8" i="3"/>
  <c r="N37" i="14"/>
  <c r="O140" i="19"/>
  <c r="L94" i="14"/>
  <c r="O94" i="14" s="1"/>
  <c r="L12" i="19"/>
  <c r="O12" i="19" s="1"/>
  <c r="N8" i="16"/>
  <c r="L220" i="10"/>
  <c r="O220" i="10" s="1"/>
  <c r="P66" i="5"/>
  <c r="L12" i="14"/>
  <c r="L10" i="14" s="1"/>
  <c r="O10" i="14" s="1"/>
  <c r="L66" i="15"/>
  <c r="O66" i="15" s="1"/>
  <c r="L271" i="18"/>
  <c r="O271" i="18" s="1"/>
  <c r="L310" i="20"/>
  <c r="O310" i="20" s="1"/>
  <c r="O312" i="20"/>
  <c r="O273" i="17"/>
  <c r="L271" i="17"/>
  <c r="O271" i="17" s="1"/>
  <c r="N8" i="11"/>
  <c r="N8" i="20"/>
  <c r="L292" i="1"/>
  <c r="O292" i="1" s="1"/>
  <c r="O22" i="11"/>
  <c r="N37" i="12"/>
  <c r="L28" i="20"/>
  <c r="O28" i="20" s="1"/>
  <c r="N37" i="15"/>
  <c r="N37" i="13"/>
  <c r="P250" i="2"/>
  <c r="L271" i="6"/>
  <c r="O271" i="6" s="1"/>
  <c r="N220" i="1"/>
  <c r="O250" i="2"/>
  <c r="N250" i="1"/>
  <c r="O55" i="21"/>
  <c r="N37" i="5"/>
  <c r="O142" i="11"/>
  <c r="L271" i="21"/>
  <c r="O271" i="21" s="1"/>
  <c r="L271" i="19"/>
  <c r="O271" i="19" s="1"/>
  <c r="O20" i="13"/>
  <c r="L20" i="21"/>
  <c r="L18" i="21" s="1"/>
  <c r="O18" i="21" s="1"/>
  <c r="P329" i="17"/>
  <c r="O68" i="9"/>
  <c r="O142" i="21"/>
  <c r="L118" i="15"/>
  <c r="O118" i="15" s="1"/>
  <c r="N8" i="17"/>
  <c r="P329" i="19"/>
  <c r="L271" i="10"/>
  <c r="O271" i="10" s="1"/>
  <c r="L140" i="9"/>
  <c r="O140" i="9" s="1"/>
  <c r="N66" i="1"/>
  <c r="M329" i="14"/>
  <c r="P329" i="14" s="1"/>
  <c r="L28" i="4"/>
  <c r="O28" i="4" s="1"/>
  <c r="L250" i="15"/>
  <c r="O250" i="15" s="1"/>
  <c r="O28" i="18"/>
  <c r="N8" i="18"/>
  <c r="L20" i="6"/>
  <c r="L18" i="6" s="1"/>
  <c r="O18" i="6" s="1"/>
  <c r="L12" i="6"/>
  <c r="L10" i="6" s="1"/>
  <c r="O10" i="6" s="1"/>
  <c r="L20" i="19"/>
  <c r="O20" i="19" s="1"/>
  <c r="O271" i="4"/>
  <c r="P271" i="4"/>
  <c r="L120" i="1"/>
  <c r="O120" i="1" s="1"/>
  <c r="L310" i="9"/>
  <c r="O310" i="9" s="1"/>
  <c r="N8" i="21"/>
  <c r="L222" i="1"/>
  <c r="O222" i="1" s="1"/>
  <c r="L271" i="2"/>
  <c r="O271" i="2" s="1"/>
  <c r="O273" i="2"/>
  <c r="P220" i="7"/>
  <c r="N8" i="7"/>
  <c r="P312" i="1"/>
  <c r="O120" i="10"/>
  <c r="P66" i="17"/>
  <c r="L66" i="18"/>
  <c r="O66" i="18" s="1"/>
  <c r="P292" i="1"/>
  <c r="N37" i="17"/>
  <c r="O66" i="17"/>
  <c r="L20" i="11"/>
  <c r="L18" i="11" s="1"/>
  <c r="O18" i="11" s="1"/>
  <c r="O96" i="15"/>
  <c r="M10" i="4"/>
  <c r="P10" i="4" s="1"/>
  <c r="L220" i="5"/>
  <c r="O220" i="5" s="1"/>
  <c r="O273" i="12"/>
  <c r="L271" i="12"/>
  <c r="O271" i="12" s="1"/>
  <c r="L312" i="1"/>
  <c r="O312" i="1" s="1"/>
  <c r="N10" i="12"/>
  <c r="N8" i="12" s="1"/>
  <c r="P53" i="9"/>
  <c r="N8" i="15"/>
  <c r="L331" i="1"/>
  <c r="O331" i="1" s="1"/>
  <c r="P222" i="1"/>
  <c r="L310" i="19"/>
  <c r="O310" i="19" s="1"/>
  <c r="N271" i="1"/>
  <c r="O66" i="11"/>
  <c r="L329" i="10"/>
  <c r="O329" i="10" s="1"/>
  <c r="L140" i="20"/>
  <c r="O140" i="20" s="1"/>
  <c r="O142" i="20"/>
  <c r="M290" i="1"/>
  <c r="P290" i="1" s="1"/>
  <c r="P140" i="13"/>
  <c r="L273" i="1"/>
  <c r="O273" i="1" s="1"/>
  <c r="O11" i="5"/>
  <c r="L9" i="5"/>
  <c r="O9" i="5" s="1"/>
  <c r="O222" i="15"/>
  <c r="L220" i="15"/>
  <c r="O220" i="15" s="1"/>
  <c r="O142" i="2"/>
  <c r="L252" i="1"/>
  <c r="O252" i="1" s="1"/>
  <c r="O252" i="20"/>
  <c r="P26" i="13"/>
  <c r="L118" i="6"/>
  <c r="O118" i="6" s="1"/>
  <c r="N37" i="9"/>
  <c r="M94" i="15"/>
  <c r="P94" i="15" s="1"/>
  <c r="O292" i="10"/>
  <c r="L290" i="10"/>
  <c r="O290" i="10" s="1"/>
  <c r="M310" i="1"/>
  <c r="P310" i="1" s="1"/>
  <c r="O34" i="1"/>
  <c r="L142" i="1"/>
  <c r="O142" i="1" s="1"/>
  <c r="P252" i="1"/>
  <c r="L250" i="9"/>
  <c r="O250" i="9" s="1"/>
  <c r="M20" i="13"/>
  <c r="P20" i="13" s="1"/>
  <c r="P271" i="21"/>
  <c r="M250" i="1"/>
  <c r="O22" i="20"/>
  <c r="L140" i="10"/>
  <c r="O140" i="10" s="1"/>
  <c r="O142" i="10"/>
  <c r="O11" i="18"/>
  <c r="L9" i="18"/>
  <c r="O9" i="18" s="1"/>
  <c r="L28" i="13"/>
  <c r="O28" i="13" s="1"/>
  <c r="O29" i="13"/>
  <c r="O11" i="13"/>
  <c r="L9" i="13"/>
  <c r="O9" i="13" s="1"/>
  <c r="L20" i="20"/>
  <c r="O20" i="20" s="1"/>
  <c r="O96" i="8"/>
  <c r="L94" i="8"/>
  <c r="O94" i="8" s="1"/>
  <c r="P331" i="11"/>
  <c r="M329" i="11"/>
  <c r="P329" i="11" s="1"/>
  <c r="O292" i="17"/>
  <c r="L290" i="17"/>
  <c r="O290" i="17" s="1"/>
  <c r="P12" i="4"/>
  <c r="P140" i="14"/>
  <c r="O16" i="12"/>
  <c r="O252" i="12"/>
  <c r="L250" i="12"/>
  <c r="O250" i="12" s="1"/>
  <c r="P20" i="4"/>
  <c r="O11" i="21"/>
  <c r="L9" i="21"/>
  <c r="O9" i="21" s="1"/>
  <c r="O222" i="13"/>
  <c r="L220" i="13"/>
  <c r="O220" i="13" s="1"/>
  <c r="L28" i="21"/>
  <c r="O28" i="21" s="1"/>
  <c r="O29" i="21"/>
  <c r="L14" i="1"/>
  <c r="O14" i="1" s="1"/>
  <c r="N8" i="4"/>
  <c r="O96" i="4"/>
  <c r="L94" i="4"/>
  <c r="O94" i="4" s="1"/>
  <c r="P20" i="9"/>
  <c r="M18" i="9"/>
  <c r="P18" i="9" s="1"/>
  <c r="P20" i="3"/>
  <c r="M18" i="3"/>
  <c r="P18" i="3" s="1"/>
  <c r="L28" i="15"/>
  <c r="O28" i="15" s="1"/>
  <c r="O29" i="15"/>
  <c r="P26" i="20"/>
  <c r="M16" i="20"/>
  <c r="P16" i="20" s="1"/>
  <c r="M20" i="20"/>
  <c r="P12" i="13"/>
  <c r="M10" i="13"/>
  <c r="L20" i="8"/>
  <c r="L12" i="8"/>
  <c r="O22" i="8"/>
  <c r="P20" i="17"/>
  <c r="M18" i="17"/>
  <c r="P18" i="17" s="1"/>
  <c r="O12" i="21"/>
  <c r="L10" i="21"/>
  <c r="L22" i="1"/>
  <c r="O45" i="1"/>
  <c r="L43" i="1"/>
  <c r="P20" i="8"/>
  <c r="M18" i="8"/>
  <c r="P18" i="8" s="1"/>
  <c r="O638" i="17"/>
  <c r="L636" i="17"/>
  <c r="O636" i="17" s="1"/>
  <c r="O638" i="19"/>
  <c r="L636" i="19"/>
  <c r="O636" i="19" s="1"/>
  <c r="P22" i="1"/>
  <c r="M12" i="1"/>
  <c r="N636" i="3"/>
  <c r="O636" i="3" s="1"/>
  <c r="O638" i="3"/>
  <c r="O94" i="10"/>
  <c r="N37" i="10"/>
  <c r="P94" i="10"/>
  <c r="O638" i="11"/>
  <c r="L636" i="11"/>
  <c r="O636" i="11" s="1"/>
  <c r="O55" i="14"/>
  <c r="L53" i="14"/>
  <c r="P20" i="16"/>
  <c r="O22" i="17"/>
  <c r="L12" i="17"/>
  <c r="L20" i="17"/>
  <c r="P12" i="6"/>
  <c r="P12" i="2"/>
  <c r="N30" i="1"/>
  <c r="N28" i="1" s="1"/>
  <c r="N12" i="1"/>
  <c r="P9" i="3"/>
  <c r="O22" i="10"/>
  <c r="L12" i="10"/>
  <c r="L20" i="10"/>
  <c r="P96" i="7"/>
  <c r="M94" i="7"/>
  <c r="P94" i="7" s="1"/>
  <c r="O273" i="13"/>
  <c r="L271" i="13"/>
  <c r="O271" i="13" s="1"/>
  <c r="P9" i="14"/>
  <c r="M37" i="18"/>
  <c r="P37" i="18" s="1"/>
  <c r="P20" i="21"/>
  <c r="M18" i="21"/>
  <c r="P18" i="21" s="1"/>
  <c r="L28" i="11"/>
  <c r="O28" i="11" s="1"/>
  <c r="O29" i="11"/>
  <c r="M37" i="10"/>
  <c r="P41" i="10"/>
  <c r="O29" i="12"/>
  <c r="L28" i="12"/>
  <c r="O28" i="12" s="1"/>
  <c r="M37" i="16"/>
  <c r="P37" i="16" s="1"/>
  <c r="O9" i="20"/>
  <c r="O640" i="1"/>
  <c r="L638" i="1"/>
  <c r="O9" i="2"/>
  <c r="M18" i="16"/>
  <c r="P18" i="16" s="1"/>
  <c r="M220" i="1"/>
  <c r="P96" i="9"/>
  <c r="M94" i="9"/>
  <c r="P94" i="9" s="1"/>
  <c r="P20" i="10"/>
  <c r="M18" i="10"/>
  <c r="P18" i="10" s="1"/>
  <c r="O55" i="12"/>
  <c r="L53" i="12"/>
  <c r="O53" i="12" s="1"/>
  <c r="M37" i="13"/>
  <c r="P41" i="13"/>
  <c r="O638" i="13"/>
  <c r="L636" i="13"/>
  <c r="O636" i="13" s="1"/>
  <c r="P41" i="15"/>
  <c r="P20" i="18"/>
  <c r="M18" i="18"/>
  <c r="P18" i="18" s="1"/>
  <c r="P26" i="2"/>
  <c r="M16" i="2"/>
  <c r="P16" i="2" s="1"/>
  <c r="L28" i="9"/>
  <c r="O28" i="9" s="1"/>
  <c r="N16" i="1"/>
  <c r="O16" i="1" s="1"/>
  <c r="N20" i="1"/>
  <c r="N18" i="1" s="1"/>
  <c r="P68" i="3"/>
  <c r="M68" i="1"/>
  <c r="P68" i="1" s="1"/>
  <c r="M66" i="3"/>
  <c r="O312" i="5"/>
  <c r="L310" i="5"/>
  <c r="O310" i="5" s="1"/>
  <c r="P12" i="14"/>
  <c r="M10" i="14"/>
  <c r="P10" i="14" s="1"/>
  <c r="P20" i="7"/>
  <c r="M18" i="7"/>
  <c r="P18" i="7" s="1"/>
  <c r="O55" i="15"/>
  <c r="L53" i="15"/>
  <c r="O68" i="20"/>
  <c r="L66" i="20"/>
  <c r="O22" i="5"/>
  <c r="L12" i="5"/>
  <c r="L20" i="5"/>
  <c r="O11" i="8"/>
  <c r="L9" i="8"/>
  <c r="O30" i="5"/>
  <c r="L28" i="5"/>
  <c r="O28" i="5" s="1"/>
  <c r="L68" i="1"/>
  <c r="O68" i="1" s="1"/>
  <c r="O638" i="2"/>
  <c r="L636" i="2"/>
  <c r="O636" i="2" s="1"/>
  <c r="O43" i="12"/>
  <c r="L41" i="12"/>
  <c r="O96" i="20"/>
  <c r="L94" i="20"/>
  <c r="O94" i="20" s="1"/>
  <c r="P41" i="7"/>
  <c r="O30" i="10"/>
  <c r="L28" i="10"/>
  <c r="O28" i="10" s="1"/>
  <c r="P12" i="16"/>
  <c r="M10" i="16"/>
  <c r="P10" i="16" s="1"/>
  <c r="O9" i="17"/>
  <c r="O252" i="17"/>
  <c r="L250" i="17"/>
  <c r="O250" i="17" s="1"/>
  <c r="O12" i="11"/>
  <c r="L10" i="11"/>
  <c r="O10" i="11" s="1"/>
  <c r="O68" i="19"/>
  <c r="L66" i="19"/>
  <c r="P20" i="12"/>
  <c r="P12" i="21"/>
  <c r="M10" i="21"/>
  <c r="O11" i="11"/>
  <c r="L9" i="11"/>
  <c r="P96" i="3"/>
  <c r="M94" i="3"/>
  <c r="M96" i="1"/>
  <c r="P96" i="1" s="1"/>
  <c r="N8" i="10"/>
  <c r="P9" i="5"/>
  <c r="L28" i="7"/>
  <c r="O28" i="7" s="1"/>
  <c r="O29" i="7"/>
  <c r="O120" i="9"/>
  <c r="L118" i="9"/>
  <c r="O118" i="9" s="1"/>
  <c r="O11" i="14"/>
  <c r="L9" i="14"/>
  <c r="M140" i="1"/>
  <c r="O96" i="7"/>
  <c r="L94" i="7"/>
  <c r="O94" i="7" s="1"/>
  <c r="P26" i="7"/>
  <c r="M16" i="7"/>
  <c r="P16" i="7" s="1"/>
  <c r="P12" i="10"/>
  <c r="M10" i="10"/>
  <c r="P10" i="10" s="1"/>
  <c r="P142" i="1"/>
  <c r="O11" i="16"/>
  <c r="L9" i="16"/>
  <c r="P12" i="18"/>
  <c r="M10" i="18"/>
  <c r="P9" i="20"/>
  <c r="O41" i="3"/>
  <c r="O12" i="20"/>
  <c r="L10" i="20"/>
  <c r="O10" i="20" s="1"/>
  <c r="N329" i="1"/>
  <c r="O29" i="6"/>
  <c r="L28" i="6"/>
  <c r="O28" i="6" s="1"/>
  <c r="P12" i="11"/>
  <c r="M10" i="11"/>
  <c r="O638" i="18"/>
  <c r="L636" i="18"/>
  <c r="O636" i="18" s="1"/>
  <c r="L20" i="9"/>
  <c r="O22" i="9"/>
  <c r="L12" i="9"/>
  <c r="O22" i="16"/>
  <c r="L20" i="16"/>
  <c r="L12" i="16"/>
  <c r="P26" i="3"/>
  <c r="M16" i="3"/>
  <c r="P16" i="3" s="1"/>
  <c r="L13" i="1"/>
  <c r="O13" i="1" s="1"/>
  <c r="L20" i="12"/>
  <c r="O22" i="12"/>
  <c r="L12" i="12"/>
  <c r="O11" i="15"/>
  <c r="L9" i="15"/>
  <c r="M37" i="12"/>
  <c r="P41" i="12"/>
  <c r="M271" i="1"/>
  <c r="P9" i="1"/>
  <c r="L20" i="3"/>
  <c r="L12" i="3"/>
  <c r="O22" i="3"/>
  <c r="L28" i="3"/>
  <c r="O28" i="3" s="1"/>
  <c r="O29" i="3"/>
  <c r="P41" i="2"/>
  <c r="P12" i="12"/>
  <c r="M10" i="12"/>
  <c r="O9" i="9"/>
  <c r="P9" i="8"/>
  <c r="O312" i="10"/>
  <c r="L310" i="10"/>
  <c r="O310" i="10" s="1"/>
  <c r="O9" i="10"/>
  <c r="O41" i="18"/>
  <c r="O638" i="20"/>
  <c r="L636" i="20"/>
  <c r="O636" i="20" s="1"/>
  <c r="O41" i="4"/>
  <c r="L96" i="1"/>
  <c r="O96" i="1" s="1"/>
  <c r="P12" i="3"/>
  <c r="O22" i="7"/>
  <c r="L12" i="7"/>
  <c r="L20" i="7"/>
  <c r="P20" i="11"/>
  <c r="M18" i="11"/>
  <c r="P18" i="11" s="1"/>
  <c r="O638" i="14"/>
  <c r="L636" i="14"/>
  <c r="O636" i="14" s="1"/>
  <c r="P9" i="19"/>
  <c r="P12" i="19"/>
  <c r="O638" i="4"/>
  <c r="L636" i="4"/>
  <c r="O636" i="4" s="1"/>
  <c r="O29" i="14"/>
  <c r="L28" i="14"/>
  <c r="O28" i="14" s="1"/>
  <c r="O22" i="2"/>
  <c r="L12" i="2"/>
  <c r="L20" i="2"/>
  <c r="L55" i="1"/>
  <c r="O57" i="1"/>
  <c r="M26" i="1"/>
  <c r="M43" i="1"/>
  <c r="P49" i="1"/>
  <c r="O55" i="16"/>
  <c r="L53" i="16"/>
  <c r="L28" i="16"/>
  <c r="O28" i="16" s="1"/>
  <c r="O29" i="16"/>
  <c r="P331" i="2"/>
  <c r="M331" i="1"/>
  <c r="P331" i="1" s="1"/>
  <c r="M329" i="2"/>
  <c r="M37" i="2" s="1"/>
  <c r="P37" i="2" s="1"/>
  <c r="P12" i="9"/>
  <c r="O11" i="19"/>
  <c r="L9" i="19"/>
  <c r="O20" i="14"/>
  <c r="L18" i="14"/>
  <c r="O18" i="14" s="1"/>
  <c r="O19" i="1"/>
  <c r="P9" i="16"/>
  <c r="P68" i="9"/>
  <c r="M66" i="9"/>
  <c r="O9" i="4"/>
  <c r="P26" i="9"/>
  <c r="M16" i="9"/>
  <c r="P16" i="9" s="1"/>
  <c r="P43" i="5"/>
  <c r="M41" i="5"/>
  <c r="L9" i="1"/>
  <c r="O11" i="1"/>
  <c r="N53" i="1"/>
  <c r="P55" i="1"/>
  <c r="P12" i="8"/>
  <c r="M10" i="8"/>
  <c r="P10" i="8" s="1"/>
  <c r="P20" i="14"/>
  <c r="M18" i="14"/>
  <c r="P18" i="14" s="1"/>
  <c r="M16" i="17"/>
  <c r="P16" i="17" s="1"/>
  <c r="P26" i="17"/>
  <c r="P331" i="20"/>
  <c r="M329" i="20"/>
  <c r="O32" i="1"/>
  <c r="L30" i="1"/>
  <c r="O55" i="8"/>
  <c r="L53" i="8"/>
  <c r="O53" i="8" s="1"/>
  <c r="P12" i="7"/>
  <c r="N8" i="14"/>
  <c r="L12" i="15"/>
  <c r="L20" i="15"/>
  <c r="O22" i="15"/>
  <c r="P12" i="20"/>
  <c r="O11" i="3"/>
  <c r="L9" i="3"/>
  <c r="O29" i="17"/>
  <c r="L28" i="17"/>
  <c r="O28" i="17" s="1"/>
  <c r="O638" i="16"/>
  <c r="L636" i="16"/>
  <c r="O636" i="16" s="1"/>
  <c r="N8" i="19"/>
  <c r="M37" i="21"/>
  <c r="P41" i="21"/>
  <c r="N8" i="2"/>
  <c r="P41" i="4"/>
  <c r="M37" i="4"/>
  <c r="P37" i="4" s="1"/>
  <c r="N10" i="5"/>
  <c r="N8" i="5" s="1"/>
  <c r="P12" i="5"/>
  <c r="M41" i="6"/>
  <c r="P43" i="6"/>
  <c r="P9" i="12"/>
  <c r="L636" i="15"/>
  <c r="O636" i="15" s="1"/>
  <c r="O638" i="15"/>
  <c r="M37" i="19"/>
  <c r="O252" i="5"/>
  <c r="L250" i="5"/>
  <c r="L636" i="12"/>
  <c r="O636" i="12" s="1"/>
  <c r="O638" i="12"/>
  <c r="P120" i="1"/>
  <c r="L41" i="8"/>
  <c r="O43" i="8"/>
  <c r="L28" i="8"/>
  <c r="O28" i="8" s="1"/>
  <c r="O29" i="8"/>
  <c r="M16" i="5"/>
  <c r="P26" i="5"/>
  <c r="M20" i="5"/>
  <c r="O638" i="10"/>
  <c r="L636" i="10"/>
  <c r="O636" i="10" s="1"/>
  <c r="O53" i="13"/>
  <c r="P12" i="17"/>
  <c r="O222" i="18"/>
  <c r="L220" i="18"/>
  <c r="O96" i="19"/>
  <c r="L94" i="19"/>
  <c r="O94" i="19" s="1"/>
  <c r="P9" i="10"/>
  <c r="O53" i="21"/>
  <c r="O55" i="2"/>
  <c r="L53" i="2"/>
  <c r="O53" i="2" s="1"/>
  <c r="P118" i="4"/>
  <c r="M118" i="1"/>
  <c r="O638" i="5"/>
  <c r="L636" i="5"/>
  <c r="O636" i="5" s="1"/>
  <c r="L28" i="19"/>
  <c r="O28" i="19" s="1"/>
  <c r="O29" i="19"/>
  <c r="P18" i="4"/>
  <c r="P9" i="4"/>
  <c r="P9" i="9"/>
  <c r="P273" i="1"/>
  <c r="O9" i="12"/>
  <c r="O22" i="18"/>
  <c r="L12" i="18"/>
  <c r="L20" i="18"/>
  <c r="L29" i="1"/>
  <c r="O31" i="1"/>
  <c r="L636" i="8"/>
  <c r="O636" i="8" s="1"/>
  <c r="O638" i="8"/>
  <c r="P20" i="6"/>
  <c r="M18" i="6"/>
  <c r="P18" i="6" s="1"/>
  <c r="M18" i="2"/>
  <c r="P18" i="2" s="1"/>
  <c r="P20" i="2"/>
  <c r="P331" i="3"/>
  <c r="M329" i="3"/>
  <c r="P329" i="3" s="1"/>
  <c r="O11" i="6"/>
  <c r="L9" i="6"/>
  <c r="P94" i="8"/>
  <c r="M37" i="8"/>
  <c r="P37" i="8" s="1"/>
  <c r="M16" i="6"/>
  <c r="P16" i="6" s="1"/>
  <c r="P26" i="6"/>
  <c r="O11" i="7"/>
  <c r="L9" i="7"/>
  <c r="L18" i="13"/>
  <c r="O18" i="13" s="1"/>
  <c r="P12" i="15"/>
  <c r="M10" i="15"/>
  <c r="L28" i="2"/>
  <c r="O28" i="2" s="1"/>
  <c r="O29" i="2"/>
  <c r="O96" i="3"/>
  <c r="L94" i="3"/>
  <c r="O94" i="3" s="1"/>
  <c r="M18" i="12"/>
  <c r="P18" i="12" s="1"/>
  <c r="M37" i="17"/>
  <c r="P41" i="17"/>
  <c r="N140" i="1"/>
  <c r="O12" i="4" l="1"/>
  <c r="P118" i="1"/>
  <c r="P20" i="15"/>
  <c r="M18" i="19"/>
  <c r="P18" i="19" s="1"/>
  <c r="P37" i="19"/>
  <c r="O20" i="6"/>
  <c r="P250" i="1"/>
  <c r="L10" i="19"/>
  <c r="O10" i="19" s="1"/>
  <c r="O20" i="21"/>
  <c r="O12" i="13"/>
  <c r="P37" i="21"/>
  <c r="O20" i="4"/>
  <c r="L37" i="21"/>
  <c r="O37" i="21" s="1"/>
  <c r="O12" i="14"/>
  <c r="M10" i="19"/>
  <c r="P10" i="19" s="1"/>
  <c r="L37" i="6"/>
  <c r="O37" i="6" s="1"/>
  <c r="L37" i="11"/>
  <c r="O37" i="11" s="1"/>
  <c r="L37" i="13"/>
  <c r="O37" i="13" s="1"/>
  <c r="P10" i="12"/>
  <c r="P37" i="12"/>
  <c r="M18" i="13"/>
  <c r="P18" i="13" s="1"/>
  <c r="P220" i="1"/>
  <c r="L18" i="19"/>
  <c r="O18" i="19" s="1"/>
  <c r="O20" i="11"/>
  <c r="P37" i="17"/>
  <c r="L271" i="1"/>
  <c r="O271" i="1" s="1"/>
  <c r="M8" i="10"/>
  <c r="P8" i="10" s="1"/>
  <c r="P37" i="13"/>
  <c r="M37" i="14"/>
  <c r="P37" i="14" s="1"/>
  <c r="O12" i="6"/>
  <c r="L329" i="1"/>
  <c r="O329" i="1" s="1"/>
  <c r="M8" i="4"/>
  <c r="P8" i="4" s="1"/>
  <c r="P271" i="1"/>
  <c r="L37" i="17"/>
  <c r="O37" i="17" s="1"/>
  <c r="M10" i="3"/>
  <c r="P10" i="3" s="1"/>
  <c r="L37" i="10"/>
  <c r="O37" i="10" s="1"/>
  <c r="L290" i="1"/>
  <c r="O290" i="1" s="1"/>
  <c r="M37" i="15"/>
  <c r="P37" i="15" s="1"/>
  <c r="M10" i="7"/>
  <c r="M8" i="7" s="1"/>
  <c r="P8" i="7" s="1"/>
  <c r="L140" i="1"/>
  <c r="O140" i="1" s="1"/>
  <c r="M37" i="7"/>
  <c r="P37" i="7" s="1"/>
  <c r="L18" i="20"/>
  <c r="O18" i="20" s="1"/>
  <c r="M10" i="20"/>
  <c r="P10" i="20" s="1"/>
  <c r="L66" i="1"/>
  <c r="O66" i="1" s="1"/>
  <c r="M10" i="2"/>
  <c r="P10" i="2" s="1"/>
  <c r="M8" i="14"/>
  <c r="P8" i="14" s="1"/>
  <c r="L37" i="4"/>
  <c r="O37" i="4" s="1"/>
  <c r="M10" i="17"/>
  <c r="M8" i="17" s="1"/>
  <c r="P8" i="17" s="1"/>
  <c r="M8" i="16"/>
  <c r="P8" i="16" s="1"/>
  <c r="M37" i="11"/>
  <c r="P37" i="11" s="1"/>
  <c r="O30" i="1"/>
  <c r="P37" i="10"/>
  <c r="L37" i="3"/>
  <c r="O37" i="3" s="1"/>
  <c r="M37" i="5"/>
  <c r="P37" i="5" s="1"/>
  <c r="P41" i="5"/>
  <c r="M8" i="8"/>
  <c r="P8" i="8" s="1"/>
  <c r="P16" i="5"/>
  <c r="M10" i="5"/>
  <c r="O9" i="3"/>
  <c r="L10" i="15"/>
  <c r="O10" i="15" s="1"/>
  <c r="O12" i="15"/>
  <c r="N37" i="1"/>
  <c r="P53" i="1"/>
  <c r="L10" i="2"/>
  <c r="O12" i="2"/>
  <c r="O43" i="1"/>
  <c r="L41" i="1"/>
  <c r="P10" i="13"/>
  <c r="M8" i="13"/>
  <c r="P8" i="13" s="1"/>
  <c r="O9" i="6"/>
  <c r="L8" i="6"/>
  <c r="O8" i="6" s="1"/>
  <c r="O220" i="18"/>
  <c r="L220" i="1"/>
  <c r="O220" i="1" s="1"/>
  <c r="O250" i="5"/>
  <c r="L37" i="5"/>
  <c r="O37" i="5" s="1"/>
  <c r="M8" i="12"/>
  <c r="P8" i="12" s="1"/>
  <c r="P329" i="20"/>
  <c r="M37" i="20"/>
  <c r="P37" i="20" s="1"/>
  <c r="L8" i="4"/>
  <c r="O8" i="4" s="1"/>
  <c r="M41" i="1"/>
  <c r="P43" i="1"/>
  <c r="L37" i="18"/>
  <c r="O37" i="18" s="1"/>
  <c r="O12" i="3"/>
  <c r="L10" i="3"/>
  <c r="O10" i="3" s="1"/>
  <c r="O12" i="9"/>
  <c r="L10" i="9"/>
  <c r="O9" i="14"/>
  <c r="L8" i="14"/>
  <c r="O8" i="14" s="1"/>
  <c r="P94" i="3"/>
  <c r="M94" i="1"/>
  <c r="P94" i="1" s="1"/>
  <c r="O66" i="20"/>
  <c r="L37" i="20"/>
  <c r="O37" i="20" s="1"/>
  <c r="L8" i="20"/>
  <c r="O8" i="20" s="1"/>
  <c r="L37" i="2"/>
  <c r="O37" i="2" s="1"/>
  <c r="L10" i="17"/>
  <c r="O12" i="17"/>
  <c r="O41" i="8"/>
  <c r="L37" i="8"/>
  <c r="O37" i="8" s="1"/>
  <c r="P41" i="6"/>
  <c r="M37" i="6"/>
  <c r="P37" i="6" s="1"/>
  <c r="P66" i="9"/>
  <c r="M37" i="9"/>
  <c r="P37" i="9" s="1"/>
  <c r="O9" i="7"/>
  <c r="O20" i="2"/>
  <c r="L18" i="2"/>
  <c r="O18" i="2" s="1"/>
  <c r="O20" i="18"/>
  <c r="L18" i="18"/>
  <c r="O18" i="18" s="1"/>
  <c r="O9" i="19"/>
  <c r="O20" i="12"/>
  <c r="L18" i="12"/>
  <c r="O18" i="12" s="1"/>
  <c r="P10" i="11"/>
  <c r="M8" i="11"/>
  <c r="P8" i="11" s="1"/>
  <c r="P10" i="18"/>
  <c r="M8" i="18"/>
  <c r="P8" i="18" s="1"/>
  <c r="L310" i="1"/>
  <c r="O310" i="1" s="1"/>
  <c r="L37" i="9"/>
  <c r="O37" i="9" s="1"/>
  <c r="O20" i="17"/>
  <c r="L18" i="17"/>
  <c r="O18" i="17" s="1"/>
  <c r="L10" i="18"/>
  <c r="O12" i="18"/>
  <c r="P10" i="15"/>
  <c r="M8" i="15"/>
  <c r="P8" i="15" s="1"/>
  <c r="O9" i="1"/>
  <c r="M10" i="9"/>
  <c r="P26" i="1"/>
  <c r="M16" i="1"/>
  <c r="P16" i="1" s="1"/>
  <c r="O20" i="7"/>
  <c r="L18" i="7"/>
  <c r="O18" i="7" s="1"/>
  <c r="O20" i="3"/>
  <c r="L18" i="3"/>
  <c r="O18" i="3" s="1"/>
  <c r="O9" i="15"/>
  <c r="O9" i="16"/>
  <c r="L37" i="7"/>
  <c r="O37" i="7" s="1"/>
  <c r="O9" i="8"/>
  <c r="L118" i="1"/>
  <c r="O118" i="1" s="1"/>
  <c r="N10" i="1"/>
  <c r="N8" i="1" s="1"/>
  <c r="M10" i="6"/>
  <c r="O22" i="1"/>
  <c r="L12" i="1"/>
  <c r="L20" i="1"/>
  <c r="O12" i="8"/>
  <c r="L10" i="8"/>
  <c r="O10" i="8" s="1"/>
  <c r="P20" i="20"/>
  <c r="M18" i="20"/>
  <c r="P18" i="20" s="1"/>
  <c r="P20" i="5"/>
  <c r="M18" i="5"/>
  <c r="P18" i="5" s="1"/>
  <c r="L10" i="7"/>
  <c r="O10" i="7" s="1"/>
  <c r="O12" i="7"/>
  <c r="O20" i="9"/>
  <c r="L18" i="9"/>
  <c r="O18" i="9" s="1"/>
  <c r="L8" i="11"/>
  <c r="O8" i="11" s="1"/>
  <c r="O9" i="11"/>
  <c r="L37" i="12"/>
  <c r="O37" i="12" s="1"/>
  <c r="O41" i="12"/>
  <c r="O53" i="15"/>
  <c r="L37" i="15"/>
  <c r="O37" i="15" s="1"/>
  <c r="O20" i="10"/>
  <c r="L18" i="10"/>
  <c r="O18" i="10" s="1"/>
  <c r="O10" i="13"/>
  <c r="L8" i="13"/>
  <c r="O8" i="13" s="1"/>
  <c r="P12" i="1"/>
  <c r="O10" i="21"/>
  <c r="L8" i="21"/>
  <c r="O8" i="21" s="1"/>
  <c r="O20" i="8"/>
  <c r="L18" i="8"/>
  <c r="O18" i="8" s="1"/>
  <c r="O29" i="1"/>
  <c r="L28" i="1"/>
  <c r="O28" i="1" s="1"/>
  <c r="O20" i="15"/>
  <c r="L18" i="15"/>
  <c r="O18" i="15" s="1"/>
  <c r="M329" i="1"/>
  <c r="P329" i="1" s="1"/>
  <c r="P329" i="2"/>
  <c r="O53" i="16"/>
  <c r="L37" i="16"/>
  <c r="O37" i="16" s="1"/>
  <c r="O55" i="1"/>
  <c r="L53" i="1"/>
  <c r="O53" i="1" s="1"/>
  <c r="L10" i="12"/>
  <c r="O12" i="12"/>
  <c r="O12" i="16"/>
  <c r="L10" i="16"/>
  <c r="O10" i="16" s="1"/>
  <c r="L250" i="1"/>
  <c r="O250" i="1" s="1"/>
  <c r="O66" i="19"/>
  <c r="L37" i="19"/>
  <c r="O37" i="19" s="1"/>
  <c r="O20" i="5"/>
  <c r="L18" i="5"/>
  <c r="O18" i="5" s="1"/>
  <c r="O638" i="1"/>
  <c r="L636" i="1"/>
  <c r="O636" i="1" s="1"/>
  <c r="L10" i="10"/>
  <c r="O12" i="10"/>
  <c r="O53" i="14"/>
  <c r="L37" i="14"/>
  <c r="O37" i="14" s="1"/>
  <c r="L94" i="1"/>
  <c r="O94" i="1" s="1"/>
  <c r="O20" i="16"/>
  <c r="L18" i="16"/>
  <c r="O18" i="16" s="1"/>
  <c r="P140" i="1"/>
  <c r="P10" i="21"/>
  <c r="M8" i="21"/>
  <c r="P8" i="21" s="1"/>
  <c r="L10" i="5"/>
  <c r="O12" i="5"/>
  <c r="M66" i="1"/>
  <c r="P66" i="1" s="1"/>
  <c r="P66" i="3"/>
  <c r="M37" i="3"/>
  <c r="P37" i="3" s="1"/>
  <c r="M20" i="1"/>
  <c r="L8" i="19" l="1"/>
  <c r="O8" i="19" s="1"/>
  <c r="M8" i="19"/>
  <c r="P8" i="19" s="1"/>
  <c r="M8" i="3"/>
  <c r="P8" i="3" s="1"/>
  <c r="P10" i="7"/>
  <c r="P10" i="17"/>
  <c r="M8" i="2"/>
  <c r="P8" i="2" s="1"/>
  <c r="M8" i="20"/>
  <c r="P8" i="20" s="1"/>
  <c r="L8" i="16"/>
  <c r="O8" i="16" s="1"/>
  <c r="L8" i="7"/>
  <c r="O8" i="7" s="1"/>
  <c r="L8" i="8"/>
  <c r="O8" i="8" s="1"/>
  <c r="O10" i="17"/>
  <c r="L8" i="17"/>
  <c r="O8" i="17" s="1"/>
  <c r="O41" i="1"/>
  <c r="L37" i="1"/>
  <c r="O37" i="1" s="1"/>
  <c r="M10" i="1"/>
  <c r="P10" i="6"/>
  <c r="M8" i="6"/>
  <c r="P8" i="6" s="1"/>
  <c r="O10" i="9"/>
  <c r="L8" i="9"/>
  <c r="O8" i="9" s="1"/>
  <c r="M37" i="1"/>
  <c r="P37" i="1" s="1"/>
  <c r="P41" i="1"/>
  <c r="O10" i="2"/>
  <c r="L8" i="2"/>
  <c r="O8" i="2" s="1"/>
  <c r="L8" i="3"/>
  <c r="O8" i="3" s="1"/>
  <c r="P10" i="5"/>
  <c r="M8" i="5"/>
  <c r="P8" i="5" s="1"/>
  <c r="P20" i="1"/>
  <c r="M18" i="1"/>
  <c r="P18" i="1" s="1"/>
  <c r="O20" i="1"/>
  <c r="L18" i="1"/>
  <c r="O18" i="1" s="1"/>
  <c r="O10" i="5"/>
  <c r="L8" i="5"/>
  <c r="O8" i="5" s="1"/>
  <c r="O10" i="10"/>
  <c r="L8" i="10"/>
  <c r="O8" i="10" s="1"/>
  <c r="O10" i="12"/>
  <c r="L8" i="12"/>
  <c r="O8" i="12" s="1"/>
  <c r="L8" i="15"/>
  <c r="O8" i="15" s="1"/>
  <c r="O12" i="1"/>
  <c r="L10" i="1"/>
  <c r="P10" i="9"/>
  <c r="M8" i="9"/>
  <c r="P8" i="9" s="1"/>
  <c r="O10" i="18"/>
  <c r="L8" i="18"/>
  <c r="O8" i="18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<sst xmlns="http://schemas.openxmlformats.org/spreadsheetml/2006/main" count="27636" uniqueCount="301">
  <si>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</si>
  <si>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</si>
  <si>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</si>
  <si>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</si>
  <si>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</si>
  <si>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</si>
  <si>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</si>
  <si>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</si>
  <si>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</si>
  <si>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</si>
  <si>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</si>
  <si>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</si>
  <si>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</si>
  <si>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</si>
  <si>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</si>
  <si>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</si>
  <si>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</si>
  <si>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</si>
  <si>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</si>
  <si>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</si>
  <si>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</si>
  <si>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</si>
  <si>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</si>
  <si>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</si>
  <si>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</si>
  <si>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</si>
  <si>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</si>
  <si>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</si>
  <si>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</si>
  <si>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</si>
  <si>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</si>
  <si>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</si>
  <si>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</si>
  <si>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</si>
  <si>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</si>
  <si>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</si>
  <si>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</si>
  <si>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</si>
  <si>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</si>
  <si>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</si>
  <si>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</si>
  <si>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</si>
  <si>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</si>
  <si>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</si>
  <si>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</si>
  <si>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</si>
  <si>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</si>
  <si>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</si>
  <si>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</si>
  <si>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</si>
  <si>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</si>
  <si>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</si>
  <si>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</si>
  <si>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</si>
  <si>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</si>
  <si>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</si>
  <si>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</si>
  <si>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</si>
  <si>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</si>
  <si>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</si>
  <si>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</si>
  <si>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</si>
  <si>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</si>
  <si>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</si>
  <si>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</si>
  <si>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</si>
  <si>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</si>
  <si>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</si>
  <si>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</si>
  <si>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</si>
  <si>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</si>
  <si>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</si>
  <si>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</si>
  <si>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</si>
  <si>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</si>
  <si>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</si>
  <si>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</si>
  <si>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</si>
  <si>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</si>
  <si>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</si>
  <si>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</si>
  <si>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</si>
  <si>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</si>
  <si>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</si>
  <si>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</si>
  <si>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</si>
  <si>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</si>
  <si>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</si>
  <si>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</si>
  <si>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</si>
  <si>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</si>
  <si>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</si>
  <si>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</si>
  <si>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</si>
  <si>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</si>
  <si>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</si>
  <si>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</si>
  <si>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</si>
  <si>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</si>
  <si>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</si>
  <si>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</si>
  <si>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</si>
  <si>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</si>
  <si>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</si>
  <si>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</si>
  <si>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</si>
  <si>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</si>
  <si>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</si>
  <si>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</si>
  <si>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</si>
  <si>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</si>
  <si>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</si>
  <si>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</si>
  <si>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</si>
  <si>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</si>
  <si>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</si>
  <si>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</si>
  <si>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</si>
  <si>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</si>
  <si>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</si>
  <si>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</si>
  <si>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</si>
  <si>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</si>
  <si>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</si>
  <si>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</si>
  <si>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</si>
  <si>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</si>
  <si>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</si>
  <si>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</si>
  <si>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</si>
  <si>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</si>
  <si>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</si>
  <si>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</si>
  <si>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</si>
  <si>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</si>
  <si>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</si>
  <si>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</si>
  <si>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</si>
  <si>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</si>
  <si>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</si>
  <si>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</si>
  <si>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</si>
  <si>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</si>
  <si>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</si>
  <si>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</si>
  <si>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</si>
  <si>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</si>
  <si>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</si>
  <si>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</si>
  <si>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</si>
  <si>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</si>
  <si>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</si>
  <si>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</si>
  <si>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</si>
  <si>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</si>
  <si>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</si>
  <si>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</si>
  <si>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</si>
  <si>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</si>
  <si>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</si>
  <si>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</si>
  <si>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</si>
  <si>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</si>
  <si>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</si>
  <si>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</si>
  <si>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</si>
  <si>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</si>
  <si>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</si>
  <si>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</si>
  <si>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</si>
  <si>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</si>
  <si>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</si>
  <si>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</si>
  <si>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</si>
  <si>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</si>
  <si>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</si>
  <si>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</si>
  <si>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</si>
  <si>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</si>
  <si>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</si>
  <si>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</si>
  <si>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</si>
  <si>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</si>
  <si>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</si>
  <si>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</si>
  <si>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</si>
  <si>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</si>
  <si>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</si>
  <si>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</si>
  <si>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</si>
  <si>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</si>
  <si>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</si>
  <si>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</si>
  <si>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</si>
  <si>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</si>
  <si>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</si>
  <si>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</si>
  <si>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</si>
  <si>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</si>
  <si>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</si>
  <si>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</si>
  <si>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</si>
  <si>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</si>
  <si>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</si>
  <si>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</si>
  <si>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</si>
  <si>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</si>
  <si>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</si>
  <si>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</si>
  <si>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</si>
  <si>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</si>
  <si>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</si>
  <si>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</si>
  <si>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</si>
  <si>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</si>
  <si>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</si>
  <si>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</si>
  <si>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</si>
  <si>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</si>
  <si>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</si>
  <si>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</si>
  <si>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</si>
  <si>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</si>
  <si>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</si>
  <si>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</si>
  <si>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</si>
  <si>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</si>
  <si>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</si>
  <si>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</si>
  <si>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</si>
  <si>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</si>
  <si>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</si>
  <si>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</si>
  <si>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</si>
  <si>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</si>
  <si>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</si>
  <si>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</si>
  <si>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</si>
  <si>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</si>
  <si>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</si>
  <si>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</si>
  <si>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</si>
  <si>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</si>
  <si>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</si>
  <si>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</si>
  <si>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</si>
  <si>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</si>
  <si>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</si>
  <si>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</si>
  <si>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</si>
  <si>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</si>
  <si>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</si>
  <si>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</si>
  <si>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</si>
  <si>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</si>
  <si>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</si>
  <si>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</si>
  <si>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</si>
  <si>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</si>
  <si>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</si>
  <si>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</si>
  <si>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</si>
  <si>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</si>
  <si>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</si>
  <si>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</si>
  <si>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</si>
  <si>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</si>
  <si>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</si>
  <si>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</si>
  <si>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</si>
  <si>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</si>
  <si>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</si>
  <si>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</si>
  <si>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</si>
  <si>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</si>
  <si>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</si>
  <si>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</si>
  <si>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</si>
  <si>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</si>
  <si>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</si>
  <si>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</si>
  <si>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</si>
  <si>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</si>
  <si>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</si>
  <si>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</si>
  <si>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</si>
  <si>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</si>
  <si>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</si>
  <si>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</si>
  <si>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</si>
  <si>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</si>
  <si>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</si>
  <si>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</si>
  <si>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</si>
  <si>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</si>
  <si>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</si>
  <si>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</si>
  <si>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</si>
  <si>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</si>
  <si>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</si>
  <si>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16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</si>
</sst>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0" borderId="0" xfId="0" applyFont="1" applyAlignment="1">
      <alignment horizontal="center" vertical="center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left"/>
    </xf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9.140625" customWidth="1"/>
    <col min="8" max="8" width="10.85546875" customWidth="1"/>
    <col min="9" max="9" width="17.7109375" bestFit="1" customWidth="1"/>
    <col min="10" max="10" width="15.85546875" customWidth="1"/>
    <col min="11" max="11" width="10.85546875" bestFit="1" customWidth="1"/>
    <col min="12" max="12" width="21.85546875" bestFit="1" customWidth="1"/>
    <col min="13" max="13" width="20.140625" customWidth="1"/>
    <col min="14" max="14" width="20.14062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1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144676039</v>
      </c>
      <c r="M8" s="23">
        <f t="shared" ca="1" si="0"/>
        <v>73209924.819999993</v>
      </c>
      <c r="N8" s="23">
        <f t="shared" ca="1" si="0"/>
        <v>90205149.280000001</v>
      </c>
      <c r="O8" s="22">
        <f t="shared" ref="O8:O16" ca="1" si="1">IF(L8&gt;0,N8*100/L8,0)</f>
        <v>62.349750451766241</v>
      </c>
      <c r="P8" s="22">
        <f t="shared" ref="P8:P16" ca="1" si="2">IF(M8&gt;0,N8*100/M8,0)</f>
        <v>123.21437223407329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144676039</v>
      </c>
      <c r="M10" s="30">
        <f t="shared" ca="1" si="4"/>
        <v>73209924.819999993</v>
      </c>
      <c r="N10" s="30">
        <f t="shared" ca="1" si="4"/>
        <v>90205149.280000001</v>
      </c>
      <c r="O10" s="29">
        <f t="shared" ca="1" si="1"/>
        <v>62.349750451766241</v>
      </c>
      <c r="P10" s="29">
        <f t="shared" ca="1" si="2"/>
        <v>123.21437223407329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134034440</v>
      </c>
      <c r="M12" s="38">
        <f t="shared" ca="1" si="6"/>
        <v>62568325.82</v>
      </c>
      <c r="N12" s="38">
        <f t="shared" ca="1" si="6"/>
        <v>79563550.280000001</v>
      </c>
      <c r="O12" s="38">
        <f t="shared" ca="1" si="1"/>
        <v>59.360527249563617</v>
      </c>
      <c r="P12" s="38">
        <f t="shared" ca="1" si="2"/>
        <v>127.1626645547346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89396940</v>
      </c>
      <c r="M14" s="38">
        <f t="shared" si="8"/>
        <v>0</v>
      </c>
      <c r="N14" s="38">
        <f t="shared" ca="1" si="8"/>
        <v>25982558.969999991</v>
      </c>
      <c r="O14" s="38">
        <f t="shared" ca="1" si="1"/>
        <v>29.064259884063134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10641599</v>
      </c>
      <c r="M16" s="38">
        <f t="shared" ca="1" si="10"/>
        <v>10641599</v>
      </c>
      <c r="N16" s="38">
        <f t="shared" ca="1" si="10"/>
        <v>10641599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88402159</v>
      </c>
      <c r="M18" s="23">
        <f t="shared" ca="1" si="11"/>
        <v>73209924.819999993</v>
      </c>
      <c r="N18" s="23">
        <f t="shared" ca="1" si="11"/>
        <v>64222590.310000002</v>
      </c>
      <c r="O18" s="22">
        <f t="shared" ref="O18:O26" ca="1" si="12">IF(L18&gt;0,N18*100/L18,0)</f>
        <v>72.648214745524484</v>
      </c>
      <c r="P18" s="22">
        <f t="shared" ref="P18:P26" ca="1" si="13">IF(M18&gt;0,N18*100/M18,0)</f>
        <v>87.723885071461282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88402159</v>
      </c>
      <c r="M20" s="30">
        <f t="shared" ca="1" si="15"/>
        <v>73209924.819999993</v>
      </c>
      <c r="N20" s="30">
        <f t="shared" ca="1" si="15"/>
        <v>64222590.310000002</v>
      </c>
      <c r="O20" s="29">
        <f t="shared" ca="1" si="12"/>
        <v>72.648214745524484</v>
      </c>
      <c r="P20" s="29">
        <f t="shared" ca="1" si="13"/>
        <v>87.723885071461282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77760560</v>
      </c>
      <c r="M22" s="41">
        <f t="shared" ca="1" si="17"/>
        <v>62568325.82</v>
      </c>
      <c r="N22" s="38">
        <f t="shared" ca="1" si="17"/>
        <v>53580991.310000002</v>
      </c>
      <c r="O22" s="38">
        <f t="shared" ca="1" si="12"/>
        <v>68.905099590332171</v>
      </c>
      <c r="P22" s="38">
        <f t="shared" ca="1" si="13"/>
        <v>85.635967732530901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33123060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10641599</v>
      </c>
      <c r="M26" s="49">
        <f t="shared" ca="1" si="21"/>
        <v>10641599</v>
      </c>
      <c r="N26" s="49">
        <f t="shared" ca="1" si="21"/>
        <v>10641599</v>
      </c>
      <c r="O26" s="49">
        <f t="shared" ca="1" si="12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2">L29+L30</f>
        <v>56273880</v>
      </c>
      <c r="M28" s="23">
        <f t="shared" si="22"/>
        <v>0</v>
      </c>
      <c r="N28" s="23">
        <f t="shared" ca="1" si="22"/>
        <v>25982558.969999991</v>
      </c>
      <c r="O28" s="22">
        <f t="shared" ref="O28:O30" ca="1" si="23">IF(L28&gt;0,N28*100/L28,0)</f>
        <v>46.171614557233283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56273880</v>
      </c>
      <c r="M30" s="30">
        <f t="shared" si="26"/>
        <v>0</v>
      </c>
      <c r="N30" s="30">
        <f t="shared" ca="1" si="26"/>
        <v>25982558.969999991</v>
      </c>
      <c r="O30" s="29">
        <f t="shared" ca="1" si="23"/>
        <v>46.171614557233283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56273880</v>
      </c>
      <c r="M32" s="38">
        <f t="shared" si="29"/>
        <v>0</v>
      </c>
      <c r="N32" s="38">
        <f t="shared" ca="1" si="29"/>
        <v>25982558.969999991</v>
      </c>
      <c r="O32" s="38">
        <f t="shared" ca="1" si="28"/>
        <v>46.171614557233283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56273880</v>
      </c>
      <c r="M34" s="38">
        <f t="shared" si="31"/>
        <v>0</v>
      </c>
      <c r="N34" s="38">
        <f t="shared" ca="1" si="31"/>
        <v>25982558.969999991</v>
      </c>
      <c r="O34" s="38">
        <f t="shared" ca="1" si="28"/>
        <v>46.171614557233283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88402159</v>
      </c>
      <c r="M37" s="54">
        <f t="shared" ca="1" si="32"/>
        <v>73209924.819999993</v>
      </c>
      <c r="N37" s="54">
        <f t="shared" ca="1" si="32"/>
        <v>64222590.310000002</v>
      </c>
      <c r="O37" s="55">
        <f t="shared" ca="1" si="28"/>
        <v>72.648214745524484</v>
      </c>
      <c r="P37" s="55">
        <f t="shared" ca="1" si="24"/>
        <v>87.723885071461282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3">L42+L43</f>
        <v>24390409</v>
      </c>
      <c r="M41" s="78">
        <f t="shared" ca="1" si="33"/>
        <v>20374629</v>
      </c>
      <c r="N41" s="78">
        <f t="shared" ca="1" si="33"/>
        <v>19357835.270000003</v>
      </c>
      <c r="O41" s="77">
        <f t="shared" ref="O41:O43" ca="1" si="34">IF(L41&gt;0,N41*100/L41,0)</f>
        <v>79.366587374570074</v>
      </c>
      <c r="P41" s="77">
        <f t="shared" ref="P41:P43" ca="1" si="35">IF(M41&gt;0,N41*100/M41,0)</f>
        <v>95.009510455380578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24390409</v>
      </c>
      <c r="M43" s="78">
        <f t="shared" ca="1" si="37"/>
        <v>20374629</v>
      </c>
      <c r="N43" s="78">
        <f t="shared" ca="1" si="37"/>
        <v>19357835.270000003</v>
      </c>
      <c r="O43" s="77">
        <f t="shared" ca="1" si="34"/>
        <v>79.366587374570074</v>
      </c>
      <c r="P43" s="77">
        <f t="shared" ca="1" si="35"/>
        <v>95.009510455380578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12304320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11287526.270000001</v>
      </c>
      <c r="O45" s="38">
        <f ca="1">IF(L45&gt;0,N45*100/L45,0)</f>
        <v>69.163340114337544</v>
      </c>
      <c r="P45" s="38">
        <f ca="1">IF(M45&gt;0,N45*100/M45,0)</f>
        <v>91.736286686302066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8070309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8070309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8070309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10067800.82</v>
      </c>
      <c r="N53" s="121">
        <f t="shared" ca="1" si="38"/>
        <v>9357276.7599999998</v>
      </c>
      <c r="O53" s="120">
        <f t="shared" ref="O53:O55" ca="1" si="39">IF(L53&gt;0,N53*100/L53,0)</f>
        <v>73.39731394327309</v>
      </c>
      <c r="P53" s="120">
        <f t="shared" ref="P53:P55" ca="1" si="40">IF(M53&gt;0,N53*100/M53,0)</f>
        <v>92.942609089082069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10067800.82</v>
      </c>
      <c r="N55" s="121">
        <f t="shared" ca="1" si="42"/>
        <v>9357276.7599999998</v>
      </c>
      <c r="O55" s="120">
        <f t="shared" ca="1" si="39"/>
        <v>73.39731394327309</v>
      </c>
      <c r="P55" s="120">
        <f t="shared" ca="1" si="40"/>
        <v>92.942609089082069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10067800.82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9357276.7599999998</v>
      </c>
      <c r="O57" s="38">
        <f ca="1">IF(L57&gt;0,N57*100/L57,0)</f>
        <v>73.39731394327309</v>
      </c>
      <c r="P57" s="38">
        <f ca="1">IF(M57&gt;0,N57*100/M57,0)</f>
        <v>92.942609089082069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9127320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7544761.2999999998</v>
      </c>
      <c r="O66" s="151">
        <f t="shared" ref="O66:O68" ca="1" si="44">IF(L66&gt;0,N66*100/L66,0)</f>
        <v>69.339496732807035</v>
      </c>
      <c r="P66" s="151">
        <f t="shared" ref="P66:P68" ca="1" si="45">IF(M66&gt;0,N66*100/M66,0)</f>
        <v>82.661299264187079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9127320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7544761.2999999998</v>
      </c>
      <c r="O68" s="156">
        <f t="shared" ca="1" si="44"/>
        <v>69.339496732807035</v>
      </c>
      <c r="P68" s="156">
        <f t="shared" ca="1" si="45"/>
        <v>82.661299264187079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8942320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7359761.2999999998</v>
      </c>
      <c r="O70" s="169">
        <f ca="1">IF(L70&gt;0,N70*100/L70,0)</f>
        <v>68.809182023018167</v>
      </c>
      <c r="P70" s="169">
        <f ca="1">IF(M70&gt;0,N70*100/M70,0)</f>
        <v>82.302593734064544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3</v>
      </c>
      <c r="K88" s="163">
        <f t="shared" ca="1" si="46"/>
        <v>20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2343705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1863134.85</v>
      </c>
      <c r="O94" s="151">
        <f t="shared" ref="O94:O96" ca="1" si="48">IF(L94&gt;0,N94*100/L94,0)</f>
        <v>72.611924563892316</v>
      </c>
      <c r="P94" s="151">
        <f t="shared" ref="P94:P96" ca="1" si="49">IF(M94&gt;0,N94*100/M94,0)</f>
        <v>79.495279909374261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2343705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1863134.85</v>
      </c>
      <c r="O96" s="156">
        <f t="shared" ca="1" si="48"/>
        <v>72.611924563892316</v>
      </c>
      <c r="P96" s="156">
        <f t="shared" ca="1" si="49"/>
        <v>79.495279909374261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1143705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663134.85000000009</v>
      </c>
      <c r="O98" s="169">
        <f ca="1">IF(L98&gt;0,N98*100/L98,0)</f>
        <v>48.550008053416121</v>
      </c>
      <c r="P98" s="169">
        <f ca="1">IF(M98&gt;0,N98*100/M98,0)</f>
        <v>57.981284509554477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10</v>
      </c>
      <c r="K108" s="225">
        <f t="shared" ref="K108:K111" ca="1" si="50">IF(I108&gt;0,J108*100/I108,0)</f>
        <v>90.909090909090907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574340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342797</v>
      </c>
      <c r="O118" s="151">
        <f t="shared" ref="O118:O120" ca="1" si="51">IF(L118&gt;0,N118*100/L118,0)</f>
        <v>69.302320879831797</v>
      </c>
      <c r="P118" s="151">
        <f t="shared" ref="P118:P120" ca="1" si="52">IF(M118&gt;0,N118*100/M118,0)</f>
        <v>59.685377999094612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574340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342797</v>
      </c>
      <c r="O120" s="156">
        <f t="shared" ca="1" si="51"/>
        <v>69.302320879831797</v>
      </c>
      <c r="P120" s="156">
        <f t="shared" ca="1" si="52"/>
        <v>59.685377999094612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574340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342797</v>
      </c>
      <c r="O122" s="169">
        <f ca="1">IF(L122&gt;0,N122*100/L122,0)</f>
        <v>69.302320879831797</v>
      </c>
      <c r="P122" s="169">
        <f ca="1">IF(M122&gt;0,N122*100/M122,0)</f>
        <v>59.685377999094612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5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3686520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3253414.2800000003</v>
      </c>
      <c r="O140" s="151">
        <f t="shared" ref="O140:O142" ca="1" si="54">IF(L140&gt;0,N140*100/L140,0)</f>
        <v>73.267670618968793</v>
      </c>
      <c r="P140" s="151">
        <f t="shared" ref="P140:P142" ca="1" si="55">IF(M140&gt;0,N140*100/M140,0)</f>
        <v>88.251637859010671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3686520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3253414.2800000003</v>
      </c>
      <c r="O142" s="156">
        <f t="shared" ca="1" si="54"/>
        <v>73.267670618968793</v>
      </c>
      <c r="P142" s="156">
        <f t="shared" ca="1" si="55"/>
        <v>88.251637859010671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3686520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3253414.2800000003</v>
      </c>
      <c r="O144" s="169">
        <f ca="1">IF(L144&gt;0,N144*100/L144,0)</f>
        <v>73.267670618968793</v>
      </c>
      <c r="P144" s="169">
        <f ca="1">IF(M144&gt;0,N144*100/M144,0)</f>
        <v>88.251637859010671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52</v>
      </c>
      <c r="K149" s="277">
        <f ca="1">IF(I149&gt;0,J149*100/I149,0)</f>
        <v>65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19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52</v>
      </c>
      <c r="K158" s="163">
        <f ca="1">IF(I158&gt;0,J158*100/I158,0)</f>
        <v>65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1194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1194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60</v>
      </c>
      <c r="K164" s="286">
        <f ca="1">IF(I164&gt;0,J164*100/I164,0)</f>
        <v>90.909090909090907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14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15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60</v>
      </c>
      <c r="K173" s="163">
        <f ca="1">IF(I173&gt;0,J173*100/I173,0)</f>
        <v>90.909090909090907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3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6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7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10</v>
      </c>
      <c r="K185" s="225">
        <f t="shared" ref="K185:K186" ca="1" si="56">IF(I185&gt;0,J185*100/I185,0)</f>
        <v>37.037037037037038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5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15000</v>
      </c>
      <c r="K189" s="286">
        <f ca="1">IF(I189&gt;0,J189*100/I189,0)</f>
        <v>1.589319771137953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19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361800</v>
      </c>
      <c r="K199" s="163">
        <f t="shared" ref="K199:K201" ca="1" si="57">IF(I199&gt;0,J199*100/I199,0)</f>
        <v>38.334392879847428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15000</v>
      </c>
      <c r="K200" s="163">
        <f t="shared" ca="1" si="57"/>
        <v>1.589319771137953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379081</v>
      </c>
      <c r="O220" s="151">
        <f t="shared" ref="O220:O222" ca="1" si="59">IF(L220&gt;0,N220*100/L220,0)</f>
        <v>94.642482648424632</v>
      </c>
      <c r="P220" s="151">
        <f t="shared" ref="P220:P222" ca="1" si="60">IF(M220&gt;0,N220*100/M220,0)</f>
        <v>94.642482648424632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379081</v>
      </c>
      <c r="O222" s="156">
        <f t="shared" ca="1" si="59"/>
        <v>94.642482648424632</v>
      </c>
      <c r="P222" s="156">
        <f t="shared" ca="1" si="60"/>
        <v>94.642482648424632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379081</v>
      </c>
      <c r="O224" s="169">
        <f ca="1">IF(L224&gt;0,N224*100/L224,0)</f>
        <v>94.642482648424632</v>
      </c>
      <c r="P224" s="169">
        <f ca="1">IF(M224&gt;0,N224*100/M224,0)</f>
        <v>94.642482648424632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5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6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4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3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16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977600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817671.07</v>
      </c>
      <c r="O250" s="151">
        <f t="shared" ref="O250:O252" ca="1" si="61">IF(L250&gt;0,N250*100/L250,0)</f>
        <v>59.907031284343176</v>
      </c>
      <c r="P250" s="151">
        <f t="shared" ref="P250:P252" ca="1" si="62">IF(M250&gt;0,N250*100/M250,0)</f>
        <v>83.640657733224216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977600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817671.07</v>
      </c>
      <c r="O252" s="156">
        <f t="shared" ca="1" si="61"/>
        <v>59.907031284343176</v>
      </c>
      <c r="P252" s="156">
        <f t="shared" ca="1" si="62"/>
        <v>83.640657733224216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977600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817671.07</v>
      </c>
      <c r="O254" s="169">
        <f ca="1">IF(L254&gt;0,N254*100/L254,0)</f>
        <v>59.907031284343176</v>
      </c>
      <c r="P254" s="169">
        <f ca="1">IF(M254&gt;0,N254*100/M254,0)</f>
        <v>83.640657733224216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5</v>
      </c>
      <c r="K264" s="163">
        <f t="shared" ref="K264:K267" ca="1" si="63">IF(I264&gt;0,J264*100/I264,0)</f>
        <v>55.555555555555557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3">
        <f t="shared" ca="1" si="63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7</v>
      </c>
      <c r="K267" s="163">
        <f t="shared" ca="1" si="63"/>
        <v>77.777777777777771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1527250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1186408.5100000002</v>
      </c>
      <c r="O271" s="151">
        <f t="shared" ref="O271:O273" ca="1" si="64">IF(L271&gt;0,N271*100/L271,0)</f>
        <v>58.83795427494546</v>
      </c>
      <c r="P271" s="151">
        <f t="shared" ref="P271:P273" ca="1" si="65">IF(M271&gt;0,N271*100/M271,0)</f>
        <v>77.682665575380611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1527250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1186408.5100000002</v>
      </c>
      <c r="O273" s="156">
        <f t="shared" ca="1" si="64"/>
        <v>58.83795427494546</v>
      </c>
      <c r="P273" s="156">
        <f t="shared" ca="1" si="65"/>
        <v>77.682665575380611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1527250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1186408.5100000002</v>
      </c>
      <c r="O275" s="169">
        <f ca="1">IF(L275&gt;0,N275*100/L275,0)</f>
        <v>58.83795427494546</v>
      </c>
      <c r="P275" s="169">
        <f ca="1">IF(M275&gt;0,N275*100/M275,0)</f>
        <v>77.682665575380611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147180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129930</v>
      </c>
      <c r="O290" s="151">
        <f t="shared" ref="O290:O292" ca="1" si="66">IF(L290&gt;0,N290*100/L290,0)</f>
        <v>88.279657562168779</v>
      </c>
      <c r="P290" s="151">
        <f t="shared" ref="P290:P292" ca="1" si="67">IF(M290&gt;0,N290*100/M290,0)</f>
        <v>88.279657562168779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147180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129930</v>
      </c>
      <c r="O292" s="156">
        <f t="shared" ca="1" si="66"/>
        <v>88.279657562168779</v>
      </c>
      <c r="P292" s="156">
        <f t="shared" ca="1" si="67"/>
        <v>88.279657562168779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147180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129930</v>
      </c>
      <c r="O294" s="169">
        <f ca="1">IF(L294&gt;0,N294*100/L294,0)</f>
        <v>88.279657562168779</v>
      </c>
      <c r="P294" s="169">
        <f ca="1">IF(M294&gt;0,N294*100/M294,0)</f>
        <v>88.279657562168779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2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498900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374594.69999999995</v>
      </c>
      <c r="O310" s="151">
        <f t="shared" ref="O310:O312" ca="1" si="68">IF(L310&gt;0,N310*100/L310,0)</f>
        <v>56.313093806374013</v>
      </c>
      <c r="P310" s="151">
        <f t="shared" ref="P310:P312" ca="1" si="69">IF(M310&gt;0,N310*100/M310,0)</f>
        <v>75.084125075165346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498900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374594.69999999995</v>
      </c>
      <c r="O312" s="156">
        <f t="shared" ca="1" si="68"/>
        <v>56.313093806374013</v>
      </c>
      <c r="P312" s="156">
        <f t="shared" ca="1" si="69"/>
        <v>75.084125075165346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498900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374594.69999999995</v>
      </c>
      <c r="O314" s="169">
        <f ca="1">IF(L314&gt;0,N314*100/L314,0)</f>
        <v>56.313093806374013</v>
      </c>
      <c r="P314" s="169">
        <f ca="1">IF(M314&gt;0,N314*100/M314,0)</f>
        <v>75.084125075165346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8649</v>
      </c>
      <c r="K328" s="318">
        <f ca="1">IF(I328&gt;0,J328*100/I328,0)</f>
        <v>50.142037219548961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28286860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23484140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19615685.569999997</v>
      </c>
      <c r="O329" s="151">
        <f t="shared" ref="O329:O331" ca="1" si="70">IF(L329&gt;0,N329*100/L329,0)</f>
        <v>69.345574482286111</v>
      </c>
      <c r="P329" s="151">
        <f t="shared" ref="P329:P331" ca="1" si="71">IF(M329&gt;0,N329*100/M329,0)</f>
        <v>83.527374517440265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28286860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23484140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19615685.569999997</v>
      </c>
      <c r="O331" s="156">
        <f t="shared" ca="1" si="70"/>
        <v>69.345574482286111</v>
      </c>
      <c r="P331" s="156">
        <f t="shared" ca="1" si="71"/>
        <v>83.527374517440265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27100570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22297850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18429395.569999997</v>
      </c>
      <c r="O333" s="169">
        <f ca="1">IF(L333&gt;0,N333*100/L333,0)</f>
        <v>68.0037193682642</v>
      </c>
      <c r="P333" s="169">
        <f ca="1">IF(M333&gt;0,N333*100/M333,0)</f>
        <v>82.650998055866367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18359070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1186290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1186290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10224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87844.459999999992</v>
      </c>
      <c r="K340" s="343">
        <f t="shared" ca="1" si="72"/>
        <v>69.626095778577437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13391</v>
      </c>
      <c r="K341" s="343">
        <f t="shared" ca="1" si="72"/>
        <v>77.633485999188352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149985.24999999988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998</v>
      </c>
      <c r="K343" s="343">
        <f t="shared" ca="1" si="72"/>
        <v>5.7858426575453645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10729.429999999991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8649</v>
      </c>
      <c r="K345" s="343">
        <f t="shared" ca="1" si="72"/>
        <v>50.142037219548961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96011.189999999988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56273880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25982558.969999988</v>
      </c>
      <c r="O347" s="358">
        <f ca="1">+IF(L347&gt;0,N347*100/L347,0)</f>
        <v>46.171614557233276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2296.5</v>
      </c>
      <c r="K349" s="372">
        <f t="shared" ref="K349:K350" ca="1" si="73">IF(I349&gt;0,J349*100/I349,0)</f>
        <v>44.137997309244668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5616408.299999998</v>
      </c>
      <c r="O349" s="373">
        <f ca="1">+IF(L349&gt;0,N349*100/L349,0)</f>
        <v>56.297113078203772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5616408.299999998</v>
      </c>
      <c r="O352" s="165">
        <f t="shared" ca="1" si="74"/>
        <v>56.297113078203772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5616408.299999998</v>
      </c>
      <c r="O354" s="169">
        <f t="shared" ca="1" si="74"/>
        <v>56.297113078203772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1491191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2244092.31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1460909.78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420215.21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18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1304</v>
      </c>
      <c r="K372" s="163">
        <f t="shared" ca="1" si="75"/>
        <v>88.94952251023193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2296.5</v>
      </c>
      <c r="K375" s="163">
        <f t="shared" ref="K375:K377" ca="1" si="76">IF(I375&gt;0,J375*100/I375,0)</f>
        <v>44.137997309244668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870</v>
      </c>
      <c r="K376" s="163">
        <f t="shared" ca="1" si="76"/>
        <v>33.2823259372609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1426.5</v>
      </c>
      <c r="K377" s="163">
        <f t="shared" ca="1" si="76"/>
        <v>55.09849362688297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2500</v>
      </c>
      <c r="K380" s="372">
        <f t="shared" ref="K380:K381" ca="1" si="77">IF(I380&gt;0,J380*100/I380,0)</f>
        <v>13.888888888888889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5087581</v>
      </c>
      <c r="O380" s="373">
        <f ca="1">+IF(L380&gt;0,N380*100/L380,0)</f>
        <v>27.8057297200397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1800</v>
      </c>
      <c r="K381" s="372">
        <f t="shared" ca="1" si="77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5087581</v>
      </c>
      <c r="O383" s="165">
        <f t="shared" ca="1" si="78"/>
        <v>27.8057297200397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5087581</v>
      </c>
      <c r="O385" s="169">
        <f t="shared" ca="1" si="78"/>
        <v>27.8057297200397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2460371.13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958555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1196195.8700000001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472459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1800</v>
      </c>
      <c r="K396" s="163">
        <f t="shared" ref="K396:K398" ca="1" si="79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2500</v>
      </c>
      <c r="K397" s="163">
        <f t="shared" ca="1" si="79"/>
        <v>13.888888888888889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277</v>
      </c>
      <c r="K398" s="163">
        <f t="shared" ca="1" si="79"/>
        <v>15.388888888888889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3204</v>
      </c>
      <c r="K401" s="372">
        <f t="shared" ref="K401:K402" ca="1" si="80">IF(I401&gt;0,J401*100/I401,0)</f>
        <v>97.267759562841533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2685839.95</v>
      </c>
      <c r="O401" s="373">
        <f ca="1">+IF(L401&gt;0,N401*100/L401,0)</f>
        <v>71.959167570898472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2685839.95</v>
      </c>
      <c r="O404" s="169">
        <f t="shared" ca="1" si="81"/>
        <v>71.959167570898472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2685839.95</v>
      </c>
      <c r="O406" s="169">
        <f t="shared" ca="1" si="81"/>
        <v>71.959167570898472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1918363.74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427950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339526.21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19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15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780</v>
      </c>
      <c r="K418" s="202">
        <f t="shared" ca="1" si="82"/>
        <v>96.296296296296291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597</v>
      </c>
      <c r="K427" s="202">
        <f t="shared" ca="1" si="82"/>
        <v>90.867579908675793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491</v>
      </c>
      <c r="K430" s="202">
        <f t="shared" ca="1" si="82"/>
        <v>55.858930602957905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145</v>
      </c>
      <c r="K431" s="163">
        <f t="shared" ca="1" si="82"/>
        <v>53.703703703703702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346</v>
      </c>
      <c r="K432" s="163">
        <f t="shared" ca="1" si="82"/>
        <v>56.814449917898195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2432000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1785121.08</v>
      </c>
      <c r="O435" s="412">
        <f t="shared" ref="O435:O439" ca="1" si="83">+IF(L435&gt;0,N435*100/L435,0)</f>
        <v>73.401360197368419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2432000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1785121.08</v>
      </c>
      <c r="O437" s="169">
        <f t="shared" ca="1" si="83"/>
        <v>73.401360197368419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2432000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1785121.08</v>
      </c>
      <c r="O439" s="169">
        <f t="shared" ca="1" si="83"/>
        <v>73.401360197368419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1113395.25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671725.83000000007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19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19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14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652808.70000000007</v>
      </c>
      <c r="K455" s="372">
        <f ca="1">IF(I455&gt;0,J455*100/I455,0)</f>
        <v>76.354752458571554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11078866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3983240.7699999996</v>
      </c>
      <c r="O455" s="373">
        <f t="shared" ref="O455:O459" ca="1" si="85">+IF(L455&gt;0,N455*100/L455,0)</f>
        <v>35.953506162092758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11078866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3983240.7699999996</v>
      </c>
      <c r="O457" s="169">
        <f t="shared" ca="1" si="85"/>
        <v>35.953506162092758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11078866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3983240.7699999996</v>
      </c>
      <c r="O459" s="169">
        <f t="shared" ca="1" si="85"/>
        <v>35.953506162092758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990957.59000000008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2992283.1799999997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652808.70000000007</v>
      </c>
      <c r="K464" s="269">
        <f t="shared" ref="K464:K515" ca="1" si="86">IF(I464&gt;0,J464*100/I464,0)</f>
        <v>76.354752458571554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857538.8339999998</v>
      </c>
      <c r="K465" s="202">
        <f t="shared" ca="1" si="86"/>
        <v>100.30069359321048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102854</v>
      </c>
      <c r="K466" s="202">
        <f t="shared" ca="1" si="86"/>
        <v>100.00097226138276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694650.39350000001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137890.5025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13851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2524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855301.39749999996</v>
      </c>
      <c r="K473" s="202">
        <f t="shared" ca="1" si="86"/>
        <v>100.03899531912306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713408.78999999992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88819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116588.35250000001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11498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25304.254999999997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2536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652808.70000000007</v>
      </c>
      <c r="K481" s="202">
        <f t="shared" ca="1" si="86"/>
        <v>76.354752458571554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78006</v>
      </c>
      <c r="K482" s="202">
        <f t="shared" ca="1" si="86"/>
        <v>75.842221422807313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569758.48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69288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56886.44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6210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18197.78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1773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17898.79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1749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298.99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24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7966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735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98377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38280.497499999998</v>
      </c>
      <c r="K497" s="444">
        <f t="shared" ca="1" si="86"/>
        <v>38.912039907702002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98190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38280.497499999998</v>
      </c>
      <c r="K498" s="202">
        <f t="shared" ca="1" si="86"/>
        <v>38.986146756288825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4091</v>
      </c>
      <c r="K499" s="202">
        <f t="shared" ca="1" si="86"/>
        <v>40.516985243141526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33523.53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3402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24443.899999999998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2528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9079.630000000001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874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3342.1374999999998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368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2710.3450000000003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311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631.79250000000002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57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1414.83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321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1995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123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1995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123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575086</v>
      </c>
      <c r="O533" s="412">
        <f t="shared" ref="O533:O537" ca="1" si="87">+IF(L533&gt;0,N533*100/L533,0)</f>
        <v>81.513515045853353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575086</v>
      </c>
      <c r="O535" s="169">
        <f t="shared" ca="1" si="87"/>
        <v>81.513515045853353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575086</v>
      </c>
      <c r="O537" s="169">
        <f t="shared" ca="1" si="87"/>
        <v>81.513515045853353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348557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30502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196027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17102</v>
      </c>
      <c r="K551" s="411">
        <f ca="1">IF(I551&gt;0,J551*100/I551,0)</f>
        <v>68.408000000000001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1409726.08</v>
      </c>
      <c r="O551" s="412">
        <f t="shared" ref="O551:O555" ca="1" si="89">+IF(L551&gt;0,N551*100/L551,0)</f>
        <v>89.223169620253159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1409726.08</v>
      </c>
      <c r="O553" s="169">
        <f t="shared" ca="1" si="89"/>
        <v>89.223169620253159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1409726.08</v>
      </c>
      <c r="O555" s="169">
        <f t="shared" ca="1" si="89"/>
        <v>89.223169620253159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260188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1149538.08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17102</v>
      </c>
      <c r="K560" s="225">
        <f t="shared" ref="K560:K561" ca="1" si="90">IF(I560&gt;0,J560*100/I560,0)</f>
        <v>68.408000000000001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1167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137681</v>
      </c>
      <c r="K564" s="372">
        <f ca="1">IF(I564&gt;0,J564*100/I564,0)</f>
        <v>182.33479009402728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2128077.4299999988</v>
      </c>
      <c r="O564" s="373">
        <f t="shared" ref="O564:O568" ca="1" si="91">+IF(L564&gt;0,N564*100/L564,0)</f>
        <v>66.944251749043644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2128077.4299999988</v>
      </c>
      <c r="O566" s="169">
        <f t="shared" ca="1" si="91"/>
        <v>66.944251749043644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2128077.4299999988</v>
      </c>
      <c r="O568" s="169">
        <f t="shared" ca="1" si="91"/>
        <v>66.944251749043644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1336070.5699999998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792006.86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137681</v>
      </c>
      <c r="K573" s="202">
        <f ca="1">IF(I573&gt;0,J573*100/I573,0)</f>
        <v>182.33479009402728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128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10200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126762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17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702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524</v>
      </c>
      <c r="K580" s="372">
        <f ca="1">IF(I580&gt;0,J580*100/I580,0)</f>
        <v>14.628699050809603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2648929.36</v>
      </c>
      <c r="O580" s="373">
        <f t="shared" ref="O580:O584" ca="1" si="93">+IF(L580&gt;0,N580*100/L580,0)</f>
        <v>52.25048711218907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2648929.36</v>
      </c>
      <c r="O582" s="169">
        <f t="shared" ca="1" si="93"/>
        <v>52.25048711218907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2648929.36</v>
      </c>
      <c r="O584" s="169">
        <f t="shared" ca="1" si="93"/>
        <v>52.25048711218907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973963.35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1674966.01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2822</v>
      </c>
      <c r="K589" s="163">
        <f t="shared" ref="K589:K596" ca="1" si="94">IF(I589&gt;0,J589*100/I589,0)</f>
        <v>78.782802903405923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1858.5500000000002</v>
      </c>
      <c r="K590" s="479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2233</v>
      </c>
      <c r="K591" s="163">
        <f t="shared" ca="1" si="94"/>
        <v>62.339475153545507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1431.6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431</v>
      </c>
      <c r="K593" s="163">
        <f t="shared" ca="1" si="94"/>
        <v>12.032384142936907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249.92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524</v>
      </c>
      <c r="K595" s="163">
        <f t="shared" ca="1" si="94"/>
        <v>14.628699050809603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271.46000000000004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62549</v>
      </c>
      <c r="O597" s="412">
        <f t="shared" ref="O597:O601" ca="1" si="95">+IF(L597&gt;0,N597*100/L597,0)</f>
        <v>28.017469204927213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62549</v>
      </c>
      <c r="O599" s="169">
        <f t="shared" ca="1" si="95"/>
        <v>28.017469204927213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62549</v>
      </c>
      <c r="O601" s="169">
        <f t="shared" ca="1" si="95"/>
        <v>28.017469204927213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62549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3">
        <f t="shared" ref="K611:K619" ca="1" si="96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1443.22</v>
      </c>
      <c r="K612" s="163">
        <f t="shared" ca="1" si="96"/>
        <v>63.577973568281941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1149.22</v>
      </c>
      <c r="K613" s="163">
        <f t="shared" ca="1" si="96"/>
        <v>50.626431718061674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1240.22</v>
      </c>
      <c r="K614" s="163">
        <f t="shared" ca="1" si="96"/>
        <v>54.635242290748899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732.22</v>
      </c>
      <c r="K615" s="163">
        <f t="shared" ca="1" si="96"/>
        <v>32.25638766519824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36</v>
      </c>
      <c r="K616" s="163">
        <f t="shared" ca="1" si="96"/>
        <v>1.5859030837004404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3">
        <f t="shared" ca="1" si="96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3">
        <f t="shared" ca="1" si="96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86242858.900000006</v>
      </c>
      <c r="K628" s="343">
        <f t="shared" ref="K628:K635" ca="1" si="98">IF(I628&gt;0,J628*100/I628,0)</f>
        <v>68.292971035106532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5341</v>
      </c>
      <c r="K629" s="343">
        <f t="shared" ca="1" si="98"/>
        <v>62.606962841401945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26627861.239999998</v>
      </c>
      <c r="K630" s="343">
        <f t="shared" ca="1" si="98"/>
        <v>15.205431555279354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3671</v>
      </c>
      <c r="K631" s="343">
        <f t="shared" ca="1" si="98"/>
        <v>45.455671124318968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5172583.5100000007</v>
      </c>
      <c r="K632" s="343">
        <f t="shared" ca="1" si="98"/>
        <v>48.118730841664529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840</v>
      </c>
      <c r="K633" s="343">
        <f t="shared" ca="1" si="98"/>
        <v>88.888888888888886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128130000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90313000</v>
      </c>
      <c r="K634" s="343">
        <f t="shared" ca="1" si="98"/>
        <v>70.485444470459683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3408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2401</v>
      </c>
      <c r="K635" s="486">
        <f t="shared" ca="1" si="98"/>
        <v>70.451877934272304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136890</v>
      </c>
      <c r="M636" s="510"/>
      <c r="N636" s="509">
        <f ca="1">SUM(N637:N638)</f>
        <v>1235</v>
      </c>
      <c r="O636" s="509">
        <f t="shared" ref="O636:O640" ca="1" si="99">+IF(L636&gt;0,N636*100/L636,0)</f>
        <v>0.90218423551756888</v>
      </c>
      <c r="P636" s="509"/>
    </row>
    <row r="637" spans="1:16" ht="21.75" customHeight="1" x14ac:dyDescent="0.3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99"/>
        <v>0</v>
      </c>
      <c r="P637" s="52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136890</v>
      </c>
      <c r="M638" s="520"/>
      <c r="N638" s="521">
        <f ca="1">SUM(N639:N640)</f>
        <v>1235</v>
      </c>
      <c r="O638" s="521">
        <f t="shared" ca="1" si="99"/>
        <v>0.90218423551756888</v>
      </c>
      <c r="P638" s="52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99"/>
        <v>0</v>
      </c>
      <c r="P639" s="52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136890</v>
      </c>
      <c r="M640" s="520"/>
      <c r="N640" s="521">
        <f ca="1">SUM(N641:N644)</f>
        <v>1235</v>
      </c>
      <c r="O640" s="521">
        <f t="shared" ca="1" si="99"/>
        <v>0.90218423551756888</v>
      </c>
      <c r="P640" s="52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2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2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2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1235</v>
      </c>
      <c r="O644" s="523"/>
      <c r="P644" s="523"/>
    </row>
    <row r="645" spans="1:16" ht="21.75" customHeight="1" x14ac:dyDescent="0.3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18"/>
    </row>
    <row r="646" spans="1:16" ht="21.75" customHeight="1" x14ac:dyDescent="0.3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8"/>
      <c r="L646" s="520"/>
      <c r="M646" s="520"/>
      <c r="N646" s="530"/>
      <c r="O646" s="518"/>
      <c r="P646" s="518"/>
    </row>
    <row r="647" spans="1:16" ht="21.75" customHeight="1" x14ac:dyDescent="0.3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2</v>
      </c>
      <c r="K647" s="518"/>
      <c r="L647" s="520"/>
      <c r="M647" s="520"/>
      <c r="N647" s="520"/>
      <c r="O647" s="518"/>
      <c r="P647" s="518"/>
    </row>
    <row r="648" spans="1:16" ht="21.75" customHeight="1" x14ac:dyDescent="0.3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3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4">
        <f t="shared" ref="K648:K651" ca="1" si="100">IF(I648&gt;0,J648*100/I648,0)</f>
        <v>0</v>
      </c>
      <c r="L648" s="521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0"/>
      <c r="N648" s="535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0</v>
      </c>
      <c r="O648" s="534">
        <f t="shared" ref="O648:O651" ca="1" si="101">IF(L648&gt;0,N648*100/L648,0)</f>
        <v>0</v>
      </c>
      <c r="P648" s="534"/>
    </row>
    <row r="649" spans="1:16" ht="21.75" customHeight="1" x14ac:dyDescent="0.3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3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3</v>
      </c>
      <c r="K649" s="534">
        <f t="shared" ca="1" si="100"/>
        <v>2.7777777777777777</v>
      </c>
      <c r="L649" s="521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0"/>
      <c r="N649" s="535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0</v>
      </c>
      <c r="O649" s="534">
        <f t="shared" ca="1" si="101"/>
        <v>0</v>
      </c>
      <c r="P649" s="534"/>
    </row>
    <row r="650" spans="1:16" ht="21.75" customHeight="1" x14ac:dyDescent="0.3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3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4">
        <f t="shared" ca="1" si="100"/>
        <v>0</v>
      </c>
      <c r="L650" s="521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0"/>
      <c r="N650" s="535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4">
        <f t="shared" ca="1" si="101"/>
        <v>933.33333333333337</v>
      </c>
      <c r="P650" s="534"/>
    </row>
    <row r="651" spans="1:16" ht="21.75" customHeight="1" x14ac:dyDescent="0.3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3">
        <f ca="1">J657+J660</f>
        <v>56</v>
      </c>
      <c r="K651" s="534">
        <f t="shared" ca="1" si="100"/>
        <v>9.8245614035087723</v>
      </c>
      <c r="L651" s="521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0"/>
      <c r="N651" s="535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115</v>
      </c>
      <c r="O651" s="534">
        <f t="shared" ca="1" si="101"/>
        <v>0.80701754385964908</v>
      </c>
      <c r="P651" s="534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4"/>
      <c r="L652" s="520"/>
      <c r="M652" s="520"/>
      <c r="N652" s="520"/>
      <c r="O652" s="518"/>
      <c r="P652" s="51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4"/>
      <c r="L653" s="520"/>
      <c r="M653" s="520"/>
      <c r="N653" s="520"/>
      <c r="O653" s="518"/>
      <c r="P653" s="51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1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4"/>
      <c r="L655" s="520"/>
      <c r="M655" s="520"/>
      <c r="N655" s="520"/>
      <c r="O655" s="518"/>
      <c r="P655" s="51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4"/>
      <c r="L656" s="520"/>
      <c r="M656" s="520"/>
      <c r="N656" s="520"/>
      <c r="O656" s="518"/>
      <c r="P656" s="51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4"/>
      <c r="L657" s="520"/>
      <c r="M657" s="520"/>
      <c r="N657" s="520"/>
      <c r="O657" s="518"/>
      <c r="P657" s="51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0</v>
      </c>
      <c r="K658" s="534"/>
      <c r="L658" s="520"/>
      <c r="M658" s="520"/>
      <c r="N658" s="520"/>
      <c r="O658" s="518"/>
      <c r="P658" s="51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0</v>
      </c>
      <c r="K659" s="534"/>
      <c r="L659" s="520"/>
      <c r="M659" s="520"/>
      <c r="N659" s="520"/>
      <c r="O659" s="518"/>
      <c r="P659" s="51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0</v>
      </c>
      <c r="K660" s="534"/>
      <c r="L660" s="520"/>
      <c r="M660" s="520"/>
      <c r="N660" s="520"/>
      <c r="O660" s="518"/>
      <c r="P660" s="518"/>
    </row>
    <row r="661" spans="1:16" ht="21.75" customHeight="1" x14ac:dyDescent="0.3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4"/>
      <c r="L661" s="521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0"/>
      <c r="N661" s="535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4">
        <f ca="1">IF(L661&gt;0,N661*100/L661,0)</f>
        <v>0</v>
      </c>
      <c r="P661" s="534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4"/>
      <c r="L662" s="520"/>
      <c r="M662" s="520"/>
      <c r="N662" s="520"/>
      <c r="O662" s="518"/>
      <c r="P662" s="51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3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4">
        <f ca="1">IF(I663&gt;0,J663*100/I663,0)</f>
        <v>0</v>
      </c>
      <c r="L663" s="520"/>
      <c r="M663" s="520"/>
      <c r="N663" s="520"/>
      <c r="O663" s="518"/>
      <c r="P663" s="518"/>
    </row>
    <row r="664" spans="1:16" ht="21.75" customHeight="1" x14ac:dyDescent="0.3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1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3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4">
        <f ca="1">IF(I665&gt;0,J665*100/I665,0)</f>
        <v>0</v>
      </c>
      <c r="L665" s="521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0"/>
      <c r="N665" s="535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4">
        <f ca="1">IF(L665&gt;0,N665*100/L665,0)</f>
        <v>0</v>
      </c>
      <c r="P665" s="534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4"/>
      <c r="L666" s="520"/>
      <c r="M666" s="520"/>
      <c r="N666" s="520"/>
      <c r="O666" s="518"/>
      <c r="P666" s="51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4"/>
      <c r="L667" s="520"/>
      <c r="M667" s="520"/>
      <c r="N667" s="520"/>
      <c r="O667" s="518"/>
      <c r="P667" s="51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3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4">
        <f ca="1">IF(I668&gt;0,J668*100/I668,0)</f>
        <v>0</v>
      </c>
      <c r="L668" s="521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0"/>
      <c r="N668" s="535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4">
        <f ca="1">IF(L668&gt;0,N668*100/L668,0)</f>
        <v>0</v>
      </c>
      <c r="P668" s="534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4"/>
      <c r="L669" s="520"/>
      <c r="M669" s="520"/>
      <c r="N669" s="520"/>
      <c r="O669" s="518"/>
      <c r="P669" s="51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4"/>
      <c r="L670" s="520"/>
      <c r="M670" s="520"/>
      <c r="N670" s="520"/>
      <c r="O670" s="518"/>
      <c r="P670" s="518"/>
    </row>
    <row r="671" spans="1:16" ht="21.75" customHeight="1" x14ac:dyDescent="0.3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3">
        <f ca="1">J674+J677</f>
        <v>0</v>
      </c>
      <c r="K671" s="534">
        <f ca="1">IF(I671&gt;0,J671*100/I671,0)</f>
        <v>0</v>
      </c>
      <c r="L671" s="521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0"/>
      <c r="N671" s="535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4">
        <f ca="1">IF(L671&gt;0,N671*100/L671,0)</f>
        <v>0</v>
      </c>
      <c r="P671" s="534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0</v>
      </c>
      <c r="K672" s="534"/>
      <c r="L672" s="520"/>
      <c r="M672" s="520"/>
      <c r="N672" s="520"/>
      <c r="O672" s="518"/>
      <c r="P672" s="51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0</v>
      </c>
      <c r="K673" s="534"/>
      <c r="L673" s="520"/>
      <c r="M673" s="520"/>
      <c r="N673" s="520"/>
      <c r="O673" s="518"/>
      <c r="P673" s="51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0</v>
      </c>
      <c r="K674" s="534"/>
      <c r="L674" s="520"/>
      <c r="M674" s="520"/>
      <c r="N674" s="520"/>
      <c r="O674" s="518"/>
      <c r="P674" s="51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0</v>
      </c>
      <c r="K675" s="534"/>
      <c r="L675" s="520"/>
      <c r="M675" s="520"/>
      <c r="N675" s="520"/>
      <c r="O675" s="518"/>
      <c r="P675" s="51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0</v>
      </c>
      <c r="K676" s="534"/>
      <c r="L676" s="520"/>
      <c r="M676" s="520"/>
      <c r="N676" s="520"/>
      <c r="O676" s="518"/>
      <c r="P676" s="51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0</v>
      </c>
      <c r="K677" s="545"/>
      <c r="L677" s="546"/>
      <c r="M677" s="546"/>
      <c r="N677" s="546"/>
      <c r="O677" s="545"/>
      <c r="P677" s="545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118:G118"/>
    <mergeCell ref="D121:F121"/>
    <mergeCell ref="D125:E125"/>
    <mergeCell ref="D140:G140"/>
    <mergeCell ref="D143:F143"/>
    <mergeCell ref="D69:F69"/>
    <mergeCell ref="D73:E73"/>
    <mergeCell ref="D94:G94"/>
    <mergeCell ref="D97:F97"/>
    <mergeCell ref="D101:E101"/>
    <mergeCell ref="B52:G52"/>
    <mergeCell ref="D53:G53"/>
    <mergeCell ref="D56:F56"/>
    <mergeCell ref="D60:E60"/>
    <mergeCell ref="D66:G66"/>
    <mergeCell ref="A38:G38"/>
    <mergeCell ref="B39:G39"/>
    <mergeCell ref="D41:G41"/>
    <mergeCell ref="D44:F44"/>
    <mergeCell ref="D48:E48"/>
    <mergeCell ref="D25:E25"/>
    <mergeCell ref="A27:G27"/>
    <mergeCell ref="D28:G28"/>
    <mergeCell ref="D31:F31"/>
    <mergeCell ref="D35:E35"/>
    <mergeCell ref="D11:F11"/>
    <mergeCell ref="D15:E15"/>
    <mergeCell ref="A17:G17"/>
    <mergeCell ref="D18:G18"/>
    <mergeCell ref="D21:F21"/>
    <mergeCell ref="A3:P3"/>
    <mergeCell ref="A2:P2"/>
    <mergeCell ref="A1:P1"/>
    <mergeCell ref="A7:G7"/>
    <mergeCell ref="D8:G8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5942883</v>
      </c>
      <c r="M8" s="23">
        <f t="shared" ca="1" si="0"/>
        <v>2838889</v>
      </c>
      <c r="N8" s="23">
        <f t="shared" ca="1" si="0"/>
        <v>3534080.0599999996</v>
      </c>
      <c r="O8" s="22">
        <f t="shared" ref="O8:O16" ca="1" si="1">IF(L8&gt;0,N8*100/L8,0)</f>
        <v>59.467434576787049</v>
      </c>
      <c r="P8" s="22">
        <f t="shared" ref="P8:P16" ca="1" si="2">IF(M8&gt;0,N8*100/M8,0)</f>
        <v>124.48813814136443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5942883</v>
      </c>
      <c r="M10" s="30">
        <f t="shared" ca="1" si="4"/>
        <v>2838889</v>
      </c>
      <c r="N10" s="30">
        <f t="shared" ca="1" si="4"/>
        <v>3534080.0599999996</v>
      </c>
      <c r="O10" s="29">
        <f t="shared" ca="1" si="1"/>
        <v>59.467434576787049</v>
      </c>
      <c r="P10" s="29">
        <f t="shared" ca="1" si="2"/>
        <v>124.48813814136443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5711483</v>
      </c>
      <c r="M12" s="38">
        <f t="shared" ca="1" si="6"/>
        <v>2607489</v>
      </c>
      <c r="N12" s="38">
        <f t="shared" ca="1" si="6"/>
        <v>3302680.0599999996</v>
      </c>
      <c r="O12" s="38">
        <f t="shared" ca="1" si="1"/>
        <v>57.825262895818817</v>
      </c>
      <c r="P12" s="38">
        <f t="shared" ca="1" si="2"/>
        <v>126.6613228282075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3894783</v>
      </c>
      <c r="M14" s="38">
        <f t="shared" si="8"/>
        <v>0</v>
      </c>
      <c r="N14" s="38">
        <f t="shared" ca="1" si="8"/>
        <v>1179847.3</v>
      </c>
      <c r="O14" s="38">
        <f t="shared" ca="1" si="1"/>
        <v>30.293017608426453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2838889</v>
      </c>
      <c r="N18" s="23">
        <f t="shared" ca="1" si="11"/>
        <v>2354232.7599999998</v>
      </c>
      <c r="O18" s="22">
        <f t="shared" ref="O18:O20" ca="1" si="12">IF(L18&gt;0,N18*100/L18,0)</f>
        <v>68.980319112310468</v>
      </c>
      <c r="P18" s="22">
        <f t="shared" ref="P18:P26" ca="1" si="13">IF(M18&gt;0,N18*100/M18,0)</f>
        <v>82.927960903015219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2838889</v>
      </c>
      <c r="N20" s="30">
        <f t="shared" ca="1" si="15"/>
        <v>2354232.7599999998</v>
      </c>
      <c r="O20" s="29">
        <f t="shared" ca="1" si="12"/>
        <v>68.980319112310468</v>
      </c>
      <c r="P20" s="29">
        <f t="shared" ca="1" si="13"/>
        <v>82.927960903015219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2607489</v>
      </c>
      <c r="N22" s="38">
        <f t="shared" ca="1" si="18"/>
        <v>2122832.7599999998</v>
      </c>
      <c r="O22" s="38">
        <f t="shared" ca="1" si="17"/>
        <v>66.7241685931658</v>
      </c>
      <c r="P22" s="38">
        <f t="shared" ca="1" si="13"/>
        <v>81.412913343066819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2529978</v>
      </c>
      <c r="M28" s="23">
        <f t="shared" si="23"/>
        <v>0</v>
      </c>
      <c r="N28" s="23">
        <f t="shared" ca="1" si="23"/>
        <v>1179847.3</v>
      </c>
      <c r="O28" s="22">
        <f t="shared" ref="O28:O30" ca="1" si="24">IF(L28&gt;0,N28*100/L28,0)</f>
        <v>46.634686151421079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2529978</v>
      </c>
      <c r="M30" s="30">
        <f t="shared" si="27"/>
        <v>0</v>
      </c>
      <c r="N30" s="30">
        <f t="shared" ca="1" si="27"/>
        <v>1179847.3</v>
      </c>
      <c r="O30" s="29">
        <f t="shared" ca="1" si="24"/>
        <v>46.634686151421079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2529978</v>
      </c>
      <c r="M32" s="38">
        <f t="shared" si="30"/>
        <v>0</v>
      </c>
      <c r="N32" s="38">
        <f t="shared" ca="1" si="30"/>
        <v>1179847.3</v>
      </c>
      <c r="O32" s="38">
        <f t="shared" ca="1" si="29"/>
        <v>46.634686151421079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2529978</v>
      </c>
      <c r="M34" s="38">
        <f t="shared" si="32"/>
        <v>0</v>
      </c>
      <c r="N34" s="38">
        <f t="shared" ca="1" si="32"/>
        <v>1179847.3</v>
      </c>
      <c r="O34" s="38">
        <f t="shared" ca="1" si="29"/>
        <v>46.634686151421079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2838889</v>
      </c>
      <c r="N37" s="54">
        <f t="shared" ca="1" si="33"/>
        <v>2354232.7599999998</v>
      </c>
      <c r="O37" s="55">
        <f t="shared" ca="1" si="29"/>
        <v>68.980319112310468</v>
      </c>
      <c r="P37" s="55">
        <f t="shared" ca="1" si="25"/>
        <v>82.927960903015219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520600</v>
      </c>
      <c r="N41" s="78">
        <f t="shared" ca="1" si="34"/>
        <v>432157.11</v>
      </c>
      <c r="O41" s="77">
        <f t="shared" ref="O41:O43" ca="1" si="35">IF(L41&gt;0,N41*100/L41,0)</f>
        <v>62.261505546751188</v>
      </c>
      <c r="P41" s="77">
        <f t="shared" ref="P41:P43" ca="1" si="36">IF(M41&gt;0,N41*100/M41,0)</f>
        <v>83.011354206684601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520600</v>
      </c>
      <c r="N43" s="78">
        <f t="shared" ca="1" si="38"/>
        <v>432157.11</v>
      </c>
      <c r="O43" s="77">
        <f t="shared" ca="1" si="35"/>
        <v>62.261505546751188</v>
      </c>
      <c r="P43" s="77">
        <f t="shared" ca="1" si="36"/>
        <v>83.011354206684601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2">
        <f ca="1">IFERROR(__xludf.DUMMYFUNCTION("IMPORTRANGE(""https://docs.google.com/spreadsheets/d/1Yj_ptqi66GCucihVvJfMjLAmec39IyEx_6qawtMGysU/edit?usp=sharing"",""สบก!Q46"")"),520600)</f>
        <v>520600</v>
      </c>
      <c r="N45" s="622">
        <f ca="1">IFERROR(__xludf.DUMMYFUNCTION("IMPORTRANGE(""https://docs.google.com/spreadsheets/d/1Yj_ptqi66GCucihVvJfMjLAmec39IyEx_6qawtMGysU/edit?usp=sharing"",""สบก!R46"")"),432157.11)</f>
        <v>432157.11</v>
      </c>
      <c r="O45" s="623">
        <f ca="1">IF(L45&gt;0,N45*100/L45,0)</f>
        <v>62.261505546751188</v>
      </c>
      <c r="P45" s="623">
        <f ca="1">IF(M45&gt;0,N45*100/M45,0)</f>
        <v>83.011354206684601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IFERROR(__xludf.DUMMYFUNCTION("IMPORTRANGE(""https://docs.google.com/spreadsheets/d/1Yj_ptqi66GCucihVvJfMjLAmec39IyEx_6qawtMGysU/edit?usp=sharing"",""สบก!M46"")"),694100)</f>
        <v>694100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IFERROR(__xludf.DUMMYFUNCTION("IMPORTRANGE(""https://docs.google.com/spreadsheets/d/1Yj_ptqi66GCucihVvJfMjLAmec39IyEx_6qawtMGysU/edit?usp=sharing"",""สบก!N46"")"),0)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IFERROR(__xludf.DUMMYFUNCTION("IMPORTRANGE(""https://docs.google.com/spreadsheets/d/1Yj_ptqi66GCucihVvJfMjLAmec39IyEx_6qawtMGysU/edit?usp=sharing"",""สบก!O46"")"),0)</f>
        <v>0</v>
      </c>
      <c r="M49" s="625"/>
      <c r="N49" s="622">
        <f ca="1">IFERROR(__xludf.DUMMYFUNCTION("IMPORTRANGE(""https://docs.google.com/spreadsheets/d/1Yj_ptqi66GCucihVvJfMjLAmec39IyEx_6qawtMGysU/edit?usp=sharing"",""สบก!S46"")"),0)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368424</v>
      </c>
      <c r="N53" s="121">
        <f t="shared" ca="1" si="39"/>
        <v>298879</v>
      </c>
      <c r="O53" s="120">
        <f t="shared" ref="O53:O55" ca="1" si="40">IF(L53&gt;0,N53*100/L53,0)</f>
        <v>60.896291768541154</v>
      </c>
      <c r="P53" s="120">
        <f t="shared" ref="P53:P55" ca="1" si="41">IF(M53&gt;0,N53*100/M53,0)</f>
        <v>81.123651010791917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368424</v>
      </c>
      <c r="N55" s="121">
        <f t="shared" ca="1" si="43"/>
        <v>298879</v>
      </c>
      <c r="O55" s="120">
        <f t="shared" ca="1" si="40"/>
        <v>60.896291768541154</v>
      </c>
      <c r="P55" s="120">
        <f t="shared" ca="1" si="41"/>
        <v>81.123651010791917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622">
        <f ca="1">IFERROR(__xludf.DUMMYFUNCTION("IMPORTRANGE(""https://docs.google.com/spreadsheets/d/1Yj_ptqi66GCucihVvJfMjLAmec39IyEx_6qawtMGysU/edit?usp=sharing"",""สบก!Z46"")"),368424)</f>
        <v>368424</v>
      </c>
      <c r="N57" s="622">
        <f ca="1">IFERROR(__xludf.DUMMYFUNCTION("IMPORTRANGE(""https://docs.google.com/spreadsheets/d/1Yj_ptqi66GCucihVvJfMjLAmec39IyEx_6qawtMGysU/edit?usp=sharing"",""สบก!AA46"")"),298879)</f>
        <v>298879</v>
      </c>
      <c r="O57" s="623">
        <f ca="1">IF(L57&gt;0,N57*100/L57,0)</f>
        <v>60.896291768541154</v>
      </c>
      <c r="P57" s="623">
        <f ca="1">IF(M57&gt;0,N57*100/M57,0)</f>
        <v>81.123651010791917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IFERROR(__xludf.DUMMYFUNCTION("IMPORTRANGE(""https://docs.google.com/spreadsheets/d/1Yj_ptqi66GCucihVvJfMjLAmec39IyEx_6qawtMGysU/edit?usp=sharing"",""สบก!V46"")"),490800)</f>
        <v>490800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IFERROR(__xludf.DUMMYFUNCTION("IMPORTRANGE(""https://docs.google.com/spreadsheets/d/1Yj_ptqi66GCucihVvJfMjLAmec39IyEx_6qawtMGysU/edit?usp=sharing"",""สบก!W46"")"),0)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IFERROR(__xludf.DUMMYFUNCTION("IMPORTRANGE(""https://docs.google.com/spreadsheets/d/1Yj_ptqi66GCucihVvJfMjLAmec39IyEx_6qawtMGysU/edit?usp=sharing"",""สบก!X46"")"),0)</f>
        <v>0</v>
      </c>
      <c r="M61" s="625"/>
      <c r="N61" s="622">
        <f ca="1">IFERROR(__xludf.DUMMYFUNCTION("IMPORTRANGE(""https://docs.google.com/spreadsheets/d/1Yj_ptqi66GCucihVvJfMjLAmec39IyEx_6qawtMGysU/edit?usp=sharing"",""สบก!AB46"")"),0)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750800</v>
      </c>
      <c r="N66" s="152">
        <f t="shared" ca="1" si="45"/>
        <v>671863.65</v>
      </c>
      <c r="O66" s="151">
        <f t="shared" ref="O66:O68" ca="1" si="46">IF(L66&gt;0,N66*100/L66,0)</f>
        <v>76.714278374057997</v>
      </c>
      <c r="P66" s="151">
        <f t="shared" ref="P66:P68" ca="1" si="47">IF(M66&gt;0,N66*100/M66,0)</f>
        <v>89.486367874267444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750800</v>
      </c>
      <c r="N68" s="157">
        <f t="shared" ca="1" si="49"/>
        <v>671863.65</v>
      </c>
      <c r="O68" s="156">
        <f t="shared" ca="1" si="46"/>
        <v>76.714278374057997</v>
      </c>
      <c r="P68" s="156">
        <f t="shared" ca="1" si="47"/>
        <v>89.486367874267444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875800</v>
      </c>
      <c r="M70" s="626">
        <f ca="1">IFERROR(__xludf.DUMMYFUNCTION("IMPORTRANGE(""https://docs.google.com/spreadsheets/d/1Yj_ptqi66GCucihVvJfMjLAmec39IyEx_6qawtMGysU/edit?usp=sharing"",""สบก!AI46"")"),750800)</f>
        <v>750800</v>
      </c>
      <c r="N70" s="627">
        <f ca="1">IFERROR(__xludf.DUMMYFUNCTION("IMPORTRANGE(""https://docs.google.com/spreadsheets/d/1Yj_ptqi66GCucihVvJfMjLAmec39IyEx_6qawtMGysU/edit?usp=sharing"",""สบก!AJ46"")"),671863.65)</f>
        <v>671863.65</v>
      </c>
      <c r="O70" s="169">
        <f ca="1">IF(L70&gt;0,N70*100/L70,0)</f>
        <v>76.714278374057997</v>
      </c>
      <c r="P70" s="169">
        <f ca="1">IF(M70&gt;0,N70*100/M70,0)</f>
        <v>89.486367874267444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IFERROR(__xludf.DUMMYFUNCTION("IMPORTRANGE(""https://docs.google.com/spreadsheets/d/1Yj_ptqi66GCucihVvJfMjLAmec39IyEx_6qawtMGysU/edit?usp=sharing"",""สบก!AF46"")"),682000)</f>
        <v>682000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IFERROR(__xludf.DUMMYFUNCTION("IMPORTRANGE(""https://docs.google.com/spreadsheets/d/1Yj_ptqi66GCucihVvJfMjLAmec39IyEx_6qawtMGysU/edit?usp=sharing"",""สบก!AG46"")"),0)</f>
        <v>0</v>
      </c>
      <c r="M74" s="625"/>
      <c r="N74" s="622">
        <f ca="1">IFERROR(__xludf.DUMMYFUNCTION("IMPORTRANGE(""https://docs.google.com/spreadsheets/d/1Yj_ptqi66GCucihVvJfMjLAmec39IyEx_6qawtMGysU/edit?usp=sharing"",""สบก!AK46"")"),0)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166548</v>
      </c>
      <c r="O94" s="151">
        <f t="shared" ref="O94:O96" ca="1" si="53">IF(L94&gt;0,N94*100/L94,0)</f>
        <v>77.644755244755245</v>
      </c>
      <c r="P94" s="151">
        <f t="shared" ref="P94:P96" ca="1" si="54">IF(M94&gt;0,N94*100/M94,0)</f>
        <v>85.648607647013449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166548</v>
      </c>
      <c r="O96" s="156">
        <f t="shared" ca="1" si="53"/>
        <v>77.644755244755245</v>
      </c>
      <c r="P96" s="156">
        <f t="shared" ca="1" si="54"/>
        <v>85.648607647013449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IFERROR(__xludf.DUMMYFUNCTION("IMPORTRANGE(""https://docs.google.com/spreadsheets/d/1Yj_ptqi66GCucihVvJfMjLAmec39IyEx_6qawtMGysU/edit?usp=sharing"",""สบก!AR46"")"),102055)</f>
        <v>102055</v>
      </c>
      <c r="N98" s="627">
        <f ca="1">IFERROR(__xludf.DUMMYFUNCTION("IMPORTRANGE(""https://docs.google.com/spreadsheets/d/1Yj_ptqi66GCucihVvJfMjLAmec39IyEx_6qawtMGysU/edit?usp=sharing"",""สบก!AS46"")"),74148)</f>
        <v>74148</v>
      </c>
      <c r="O98" s="169">
        <f ca="1">IF(L98&gt;0,N98*100/L98,0)</f>
        <v>60.727272727272727</v>
      </c>
      <c r="P98" s="169">
        <f ca="1">IF(M98&gt;0,N98*100/M98,0)</f>
        <v>72.654940963206116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IFERROR(__xludf.DUMMYFUNCTION("IMPORTRANGE(""https://docs.google.com/spreadsheets/d/1Yj_ptqi66GCucihVvJfMjLAmec39IyEx_6qawtMGysU/edit?usp=sharing"",""สบก!AP46"")"),92400)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IFERROR(__xludf.DUMMYFUNCTION("IMPORTRANGE(""https://docs.google.com/spreadsheets/d/1Yj_ptqi66GCucihVvJfMjLAmec39IyEx_6qawtMGysU/edit?usp=sharing"",""สบก!AT46"")"),92400)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IFERROR(__xludf.DUMMYFUNCTION("IMPORTRANGE(""https://docs.google.com/spreadsheets/d/1Yj_ptqi66GCucihVvJfMjLAmec39IyEx_6qawtMGysU/edit?usp=sharing"",""สบก!BA46"")"),0)</f>
        <v>0</v>
      </c>
      <c r="N122" s="627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IFERROR(__xludf.DUMMYFUNCTION("IMPORTRANGE(""https://docs.google.com/spreadsheets/d/1Yj_ptqi66GCucihVvJfMjLAmec39IyEx_6qawtMGysU/edit?usp=sharing"",""สบก!AY46"")"),0)</f>
        <v>0</v>
      </c>
      <c r="M126" s="625"/>
      <c r="N126" s="622">
        <f ca="1">IFERROR(__xludf.DUMMYFUNCTION("IMPORTRANGE(""https://docs.google.com/spreadsheets/d/1Yj_ptqi66GCucihVvJfMjLAmec39IyEx_6qawtMGysU/edit?usp=sharing"",""สบก!BC46"")"),0)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227500</v>
      </c>
      <c r="M140" s="152">
        <f t="shared" ca="1" si="64"/>
        <v>184625</v>
      </c>
      <c r="N140" s="152">
        <f t="shared" ca="1" si="64"/>
        <v>152410</v>
      </c>
      <c r="O140" s="151">
        <f t="shared" ref="O140:O142" ca="1" si="65">IF(L140&gt;0,N140*100/L140,0)</f>
        <v>66.99340659340659</v>
      </c>
      <c r="P140" s="151">
        <f t="shared" ref="P140:P142" ca="1" si="66">IF(M140&gt;0,N140*100/M140,0)</f>
        <v>82.551117129316182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227500</v>
      </c>
      <c r="M142" s="157">
        <f t="shared" ca="1" si="68"/>
        <v>184625</v>
      </c>
      <c r="N142" s="157">
        <f t="shared" ca="1" si="68"/>
        <v>152410</v>
      </c>
      <c r="O142" s="156">
        <f t="shared" ca="1" si="65"/>
        <v>66.99340659340659</v>
      </c>
      <c r="P142" s="156">
        <f t="shared" ca="1" si="66"/>
        <v>82.551117129316182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227500</v>
      </c>
      <c r="M144" s="626">
        <f ca="1">IFERROR(__xludf.DUMMYFUNCTION("IMPORTRANGE(""https://docs.google.com/spreadsheets/d/1Yj_ptqi66GCucihVvJfMjLAmec39IyEx_6qawtMGysU/edit?usp=sharing"",""สบก!BJ46"")"),184625)</f>
        <v>184625</v>
      </c>
      <c r="N144" s="627">
        <f ca="1">IFERROR(__xludf.DUMMYFUNCTION("IMPORTRANGE(""https://docs.google.com/spreadsheets/d/1Yj_ptqi66GCucihVvJfMjLAmec39IyEx_6qawtMGysU/edit?usp=sharing"",""สบก!BK46"")"),152410)</f>
        <v>152410</v>
      </c>
      <c r="O144" s="169">
        <f ca="1">IF(L144&gt;0,N144*100/L144,0)</f>
        <v>66.99340659340659</v>
      </c>
      <c r="P144" s="169">
        <f ca="1">IF(M144&gt;0,N144*100/M144,0)</f>
        <v>82.551117129316182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IFERROR(__xludf.DUMMYFUNCTION("IMPORTRANGE(""https://docs.google.com/spreadsheets/d/1Yj_ptqi66GCucihVvJfMjLAmec39IyEx_6qawtMGysU/edit?usp=sharing"",""สบก!BG46"")"),95500)</f>
        <v>95500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IFERROR(__xludf.DUMMYFUNCTION("IMPORTRANGE(""https://docs.google.com/spreadsheets/d/1Yj_ptqi66GCucihVvJfMjLAmec39IyEx_6qawtMGysU/edit?usp=sharing"",""สบก!BH46"")"),0)</f>
        <v>0</v>
      </c>
      <c r="M148" s="625"/>
      <c r="N148" s="622">
        <f ca="1">IFERROR(__xludf.DUMMYFUNCTION("IMPORTRANGE(""https://docs.google.com/spreadsheets/d/1Yj_ptqi66GCucihVvJfMjLAmec39IyEx_6qawtMGysU/edit?usp=sharing"",""สบก!BL46"")"),0)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IFERROR(__xludf.DUMMYFUNCTION("IMPORTRANGE(""https://docs.google.com/spreadsheets/d/1Yj_ptqi66GCucihVvJfMjLAmec39IyEx_6qawtMGysU/edit?usp=sharing"",""สบก!BS46"")"),19295)</f>
        <v>19295</v>
      </c>
      <c r="N224" s="627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IFERROR(__xludf.DUMMYFUNCTION("IMPORTRANGE(""https://docs.google.com/spreadsheets/d/1Yj_ptqi66GCucihVvJfMjLAmec39IyEx_6qawtMGysU/edit?usp=sharing"",""สบก!BQ46"")"),0)</f>
        <v>0</v>
      </c>
      <c r="M228" s="625"/>
      <c r="N228" s="622">
        <f ca="1">IFERROR(__xludf.DUMMYFUNCTION("IMPORTRANGE(""https://docs.google.com/spreadsheets/d/1Yj_ptqi66GCucihVvJfMjLAmec39IyEx_6qawtMGysU/edit?usp=sharing"",""สบก!BU46"")"),0)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IFERROR(__xludf.DUMMYFUNCTION("IMPORTRANGE(""https://docs.google.com/spreadsheets/d/1Yj_ptqi66GCucihVvJfMjLAmec39IyEx_6qawtMGysU/edit?usp=sharing"",""สบก!CB46"")"),0)</f>
        <v>0</v>
      </c>
      <c r="N254" s="627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IFERROR(__xludf.DUMMYFUNCTION("IMPORTRANGE(""https://docs.google.com/spreadsheets/d/1Yj_ptqi66GCucihVvJfMjLAmec39IyEx_6qawtMGysU/edit?usp=sharing"",""สบก!BZ46"")"),0)</f>
        <v>0</v>
      </c>
      <c r="M258" s="625"/>
      <c r="N258" s="622">
        <f ca="1">IFERROR(__xludf.DUMMYFUNCTION("IMPORTRANGE(""https://docs.google.com/spreadsheets/d/1Yj_ptqi66GCucihVvJfMjLAmec39IyEx_6qawtMGysU/edit?usp=sharing"",""สบก!CD46"")"),0)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25210</v>
      </c>
      <c r="O271" s="151">
        <f t="shared" ref="O271:O273" ca="1" si="84">IF(L271&gt;0,N271*100/L271,0)</f>
        <v>45.670289855072461</v>
      </c>
      <c r="P271" s="151">
        <f t="shared" ref="P271:P273" ca="1" si="85">IF(M271&gt;0,N271*100/M271,0)</f>
        <v>78.170542635658919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25210</v>
      </c>
      <c r="O273" s="156">
        <f t="shared" ca="1" si="84"/>
        <v>45.670289855072461</v>
      </c>
      <c r="P273" s="156">
        <f t="shared" ca="1" si="85"/>
        <v>78.170542635658919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IFERROR(__xludf.DUMMYFUNCTION("IMPORTRANGE(""https://docs.google.com/spreadsheets/d/1Yj_ptqi66GCucihVvJfMjLAmec39IyEx_6qawtMGysU/edit?usp=sharing"",""สบก!CK46"")"),32250)</f>
        <v>32250</v>
      </c>
      <c r="N275" s="627">
        <f ca="1">IFERROR(__xludf.DUMMYFUNCTION("IMPORTRANGE(""https://docs.google.com/spreadsheets/d/1Yj_ptqi66GCucihVvJfMjLAmec39IyEx_6qawtMGysU/edit?usp=sharing"",""สบก!CL46"")"),25210)</f>
        <v>25210</v>
      </c>
      <c r="O275" s="169">
        <f ca="1">IF(L275&gt;0,N275*100/L275,0)</f>
        <v>45.670289855072461</v>
      </c>
      <c r="P275" s="169">
        <f ca="1">IF(M275&gt;0,N275*100/M275,0)</f>
        <v>78.170542635658919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IFERROR(__xludf.DUMMYFUNCTION("IMPORTRANGE(""https://docs.google.com/spreadsheets/d/1Yj_ptqi66GCucihVvJfMjLAmec39IyEx_6qawtMGysU/edit?usp=sharing"",""สบก!CI46"")"),0)</f>
        <v>0</v>
      </c>
      <c r="M279" s="625"/>
      <c r="N279" s="622">
        <f ca="1">IFERROR(__xludf.DUMMYFUNCTION("IMPORTRANGE(""https://docs.google.com/spreadsheets/d/1Yj_ptqi66GCucihVvJfMjLAmec39IyEx_6qawtMGysU/edit?usp=sharing"",""สบก!CM46"")"),0)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IFERROR(__xludf.DUMMYFUNCTION("IMPORTRANGE(""https://docs.google.com/spreadsheets/d/1Yj_ptqi66GCucihVvJfMjLAmec39IyEx_6qawtMGysU/edit?usp=sharing"",""สบก!CT46"")"),0)</f>
        <v>0</v>
      </c>
      <c r="N294" s="627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IFERROR(__xludf.DUMMYFUNCTION("IMPORTRANGE(""https://docs.google.com/spreadsheets/d/1Yj_ptqi66GCucihVvJfMjLAmec39IyEx_6qawtMGysU/edit?usp=sharing"",""สบก!CR46"")"),0)</f>
        <v>0</v>
      </c>
      <c r="M298" s="625"/>
      <c r="N298" s="622">
        <f ca="1">IFERROR(__xludf.DUMMYFUNCTION("IMPORTRANGE(""https://docs.google.com/spreadsheets/d/1Yj_ptqi66GCucihVvJfMjLAmec39IyEx_6qawtMGysU/edit?usp=sharing"",""สบก!CV46"")"),0)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IFERROR(__xludf.DUMMYFUNCTION("IMPORTRANGE(""https://docs.google.com/spreadsheets/d/1Yj_ptqi66GCucihVvJfMjLAmec39IyEx_6qawtMGysU/edit?usp=sharing"",""สบก!DC46"")"),0)</f>
        <v>0</v>
      </c>
      <c r="N314" s="627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IFERROR(__xludf.DUMMYFUNCTION("IMPORTRANGE(""https://docs.google.com/spreadsheets/d/1Yj_ptqi66GCucihVvJfMjLAmec39IyEx_6qawtMGysU/edit?usp=sharing"",""สบก!DA46"")"),0)</f>
        <v>0</v>
      </c>
      <c r="M318" s="625"/>
      <c r="N318" s="622">
        <f ca="1">IFERROR(__xludf.DUMMYFUNCTION("IMPORTRANGE(""https://docs.google.com/spreadsheets/d/1Yj_ptqi66GCucihVvJfMjLAmec39IyEx_6qawtMGysU/edit?usp=sharing"",""สบก!DE46"")"),0)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IFERROR(__xludf.DUMMYFUNCTION("IMPORTRANGE(""https://docs.google.com/spreadsheets/d/1XL5vhW3sbDhbH9Cz0tuDiY8C3ctxq1tqvaCgkFb8cCA/edit?usp=sharing"",""มุกดาหาร!J228"")"),213)</f>
        <v>213</v>
      </c>
      <c r="K328" s="318">
        <f ca="1">IF(I328&gt;0,J328*100/I328,0)</f>
        <v>94.666666666666671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835710</v>
      </c>
      <c r="M329" s="152">
        <f t="shared" ca="1" si="98"/>
        <v>768440</v>
      </c>
      <c r="N329" s="152">
        <f t="shared" ca="1" si="98"/>
        <v>587870</v>
      </c>
      <c r="O329" s="151">
        <f t="shared" ref="O329:O331" ca="1" si="99">IF(L329&gt;0,N329*100/L329,0)</f>
        <v>70.343779540749779</v>
      </c>
      <c r="P329" s="151">
        <f t="shared" ref="P329:P331" ca="1" si="100">IF(M329&gt;0,N329*100/M329,0)</f>
        <v>76.501743792618811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835710</v>
      </c>
      <c r="M331" s="157">
        <f t="shared" ca="1" si="102"/>
        <v>768440</v>
      </c>
      <c r="N331" s="157">
        <f t="shared" ca="1" si="102"/>
        <v>587870</v>
      </c>
      <c r="O331" s="156">
        <f t="shared" ca="1" si="99"/>
        <v>70.343779540749779</v>
      </c>
      <c r="P331" s="156">
        <f t="shared" ca="1" si="100"/>
        <v>76.501743792618811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6">
        <f ca="1">IFERROR(__xludf.DUMMYFUNCTION("IMPORTRANGE(""https://docs.google.com/spreadsheets/d/1Yj_ptqi66GCucihVvJfMjLAmec39IyEx_6qawtMGysU/edit?usp=sharing"",""สบก!DL46"")"),629440)</f>
        <v>629440</v>
      </c>
      <c r="N333" s="627">
        <f ca="1">IFERROR(__xludf.DUMMYFUNCTION("IMPORTRANGE(""https://docs.google.com/spreadsheets/d/1Yj_ptqi66GCucihVvJfMjLAmec39IyEx_6qawtMGysU/edit?usp=sharing"",""สบก!DM46"")"),448870)</f>
        <v>448870</v>
      </c>
      <c r="O333" s="169">
        <f ca="1">IF(L333&gt;0,N333*100/L333,0)</f>
        <v>64.427093051628361</v>
      </c>
      <c r="P333" s="169">
        <f ca="1">IF(M333&gt;0,N333*100/M333,0)</f>
        <v>71.312595322826638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IFERROR(__xludf.DUMMYFUNCTION("IMPORTRANGE(""https://docs.google.com/spreadsheets/d/1Yj_ptqi66GCucihVvJfMjLAmec39IyEx_6qawtMGysU/edit?usp=sharing"",""สบก!DN46"")"),139000)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IFERROR(__xludf.DUMMYFUNCTION("IMPORTRANGE(""https://docs.google.com/spreadsheets/d/1XL5vhW3sbDhbH9Cz0tuDiY8C3ctxq1tqvaCgkFb8cCA/edit?usp=sharing"",""มุกดาหาร!J234"")"),242)</f>
        <v>242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IFERROR(__xludf.DUMMYFUNCTION("IMPORTRANGE(""https://docs.google.com/spreadsheets/d/1XL5vhW3sbDhbH9Cz0tuDiY8C3ctxq1tqvaCgkFb8cCA/edit?usp=sharing"",""มุกดาหาร!J235"")"),1774.73)</f>
        <v>1774.73</v>
      </c>
      <c r="K340" s="343">
        <f t="shared" ca="1" si="103"/>
        <v>98.596111111111114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IFERROR(__xludf.DUMMYFUNCTION("IMPORTRANGE(""https://docs.google.com/spreadsheets/d/1XL5vhW3sbDhbH9Cz0tuDiY8C3ctxq1tqvaCgkFb8cCA/edit?usp=sharing"",""มุกดาหาร!J236"")"),354)</f>
        <v>354</v>
      </c>
      <c r="K341" s="343">
        <f t="shared" ca="1" si="103"/>
        <v>157.33333333333334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IFERROR(__xludf.DUMMYFUNCTION("IMPORTRANGE(""https://docs.google.com/spreadsheets/d/1XL5vhW3sbDhbH9Cz0tuDiY8C3ctxq1tqvaCgkFb8cCA/edit?usp=sharing"",""มุกดาหาร!J237"")"),3158.99)</f>
        <v>3158.99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IFERROR(__xludf.DUMMYFUNCTION("IMPORTRANGE(""https://docs.google.com/spreadsheets/d/1XL5vhW3sbDhbH9Cz0tuDiY8C3ctxq1tqvaCgkFb8cCA/edit?usp=sharing"",""มุกดาหาร!J240"")"),213)</f>
        <v>213</v>
      </c>
      <c r="K345" s="343">
        <f t="shared" ca="1" si="103"/>
        <v>94.666666666666671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IFERROR(__xludf.DUMMYFUNCTION("IMPORTRANGE(""https://docs.google.com/spreadsheets/d/1XL5vhW3sbDhbH9Cz0tuDiY8C3ctxq1tqvaCgkFb8cCA/edit?usp=sharing"",""มุกดาหาร!J241"")"),2148.52)</f>
        <v>2148.52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IFERROR(__xludf.DUMMYFUNCTION("IMPORTRANGE(""https://docs.google.com/spreadsheets/d/1XL5vhW3sbDhbH9Cz0tuDiY8C3ctxq1tqvaCgkFb8cCA/edit?usp=sharing"",""มุกดาหาร!L242"")"),2529978)</f>
        <v>2529978</v>
      </c>
      <c r="M347" s="358"/>
      <c r="N347" s="358">
        <f ca="1">IFERROR(__xludf.DUMMYFUNCTION("IMPORTRANGE(""https://docs.google.com/spreadsheets/d/1XL5vhW3sbDhbH9Cz0tuDiY8C3ctxq1tqvaCgkFb8cCA/edit?usp=sharing"",""มุกดาหาร!M242"")"),1179847.3)</f>
        <v>1179847.3</v>
      </c>
      <c r="O347" s="358">
        <f ca="1">+IF(L347&gt;0,N347*100/L347,0)</f>
        <v>46.634686151421079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IFERROR(__xludf.DUMMYFUNCTION("IMPORTRANGE(""https://docs.google.com/spreadsheets/d/1XL5vhW3sbDhbH9Cz0tuDiY8C3ctxq1tqvaCgkFb8cCA/edit?usp=sharing"",""มุกดาหาร!M244"")"),260859)</f>
        <v>260859</v>
      </c>
      <c r="O349" s="373">
        <f ca="1">+IF(L349&gt;0,N349*100/L349,0)</f>
        <v>58.497746283048912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IFERROR(__xludf.DUMMYFUNCTION("IMPORTRANGE(""https://docs.google.com/spreadsheets/d/1XL5vhW3sbDhbH9Cz0tuDiY8C3ctxq1tqvaCgkFb8cCA/edit?usp=sharing"",""มุกดาหาร!M247"")"),260859)</f>
        <v>260859</v>
      </c>
      <c r="O352" s="165">
        <f t="shared" ca="1" si="105"/>
        <v>58.497746283048912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IFERROR(__xludf.DUMMYFUNCTION("IMPORTRANGE(""https://docs.google.com/spreadsheets/d/1XL5vhW3sbDhbH9Cz0tuDiY8C3ctxq1tqvaCgkFb8cCA/edit?usp=sharing"",""มุกดาหาร!M249"")"),260859)</f>
        <v>260859</v>
      </c>
      <c r="O354" s="169">
        <f t="shared" ca="1" si="105"/>
        <v>58.497746283048912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IFERROR(__xludf.DUMMYFUNCTION("IMPORTRANGE(""https://docs.google.com/spreadsheets/d/1XL5vhW3sbDhbH9Cz0tuDiY8C3ctxq1tqvaCgkFb8cCA/edit?usp=sharing"",""มุกดาหาร!M250"")"),86520)</f>
        <v>86520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IFERROR(__xludf.DUMMYFUNCTION("IMPORTRANGE(""https://docs.google.com/spreadsheets/d/1XL5vhW3sbDhbH9Cz0tuDiY8C3ctxq1tqvaCgkFb8cCA/edit?usp=sharing"",""มุกดาหาร!M251"")"),62400)</f>
        <v>62400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IFERROR(__xludf.DUMMYFUNCTION("IMPORTRANGE(""https://docs.google.com/spreadsheets/d/1XL5vhW3sbDhbH9Cz0tuDiY8C3ctxq1tqvaCgkFb8cCA/edit?usp=sharing"",""มุกดาหาร!M252"")"),84699)</f>
        <v>84699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IFERROR(__xludf.DUMMYFUNCTION("IMPORTRANGE(""https://docs.google.com/spreadsheets/d/1XL5vhW3sbDhbH9Cz0tuDiY8C3ctxq1tqvaCgkFb8cCA/edit?usp=sharing"",""มุกดาหาร!M253"")"),27240)</f>
        <v>27240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IFERROR(__xludf.DUMMYFUNCTION("IMPORTRANGE(""https://docs.google.com/spreadsheets/d/1XL5vhW3sbDhbH9Cz0tuDiY8C3ctxq1tqvaCgkFb8cCA/edit?usp=sharing"",""มุกดาหาร!M275"")"),293369)</f>
        <v>293369</v>
      </c>
      <c r="O380" s="373">
        <f ca="1">+IF(L380&gt;0,N380*100/L380,0)</f>
        <v>28.523412281725196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IFERROR(__xludf.DUMMYFUNCTION("IMPORTRANGE(""https://docs.google.com/spreadsheets/d/1XL5vhW3sbDhbH9Cz0tuDiY8C3ctxq1tqvaCgkFb8cCA/edit?usp=sharing"",""มุกดาหาร!M278"")"),293369)</f>
        <v>293369</v>
      </c>
      <c r="O383" s="165">
        <f t="shared" ca="1" si="109"/>
        <v>28.523412281725196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IFERROR(__xludf.DUMMYFUNCTION("IMPORTRANGE(""https://docs.google.com/spreadsheets/d/1XL5vhW3sbDhbH9Cz0tuDiY8C3ctxq1tqvaCgkFb8cCA/edit?usp=sharing"",""มุกดาหาร!M280"")"),293369)</f>
        <v>293369</v>
      </c>
      <c r="O385" s="169">
        <f t="shared" ca="1" si="109"/>
        <v>28.523412281725196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IFERROR(__xludf.DUMMYFUNCTION("IMPORTRANGE(""https://docs.google.com/spreadsheets/d/1XL5vhW3sbDhbH9Cz0tuDiY8C3ctxq1tqvaCgkFb8cCA/edit?usp=sharing"",""มุกดาหาร!M281"")"),201650)</f>
        <v>201650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IFERROR(__xludf.DUMMYFUNCTION("IMPORTRANGE(""https://docs.google.com/spreadsheets/d/1XL5vhW3sbDhbH9Cz0tuDiY8C3ctxq1tqvaCgkFb8cCA/edit?usp=sharing"",""มุกดาหาร!M283"")"),73699)</f>
        <v>73699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IFERROR(__xludf.DUMMYFUNCTION("IMPORTRANGE(""https://docs.google.com/spreadsheets/d/1XL5vhW3sbDhbH9Cz0tuDiY8C3ctxq1tqvaCgkFb8cCA/edit?usp=sharing"",""มุกดาหาร!M296"")"),86053)</f>
        <v>86053</v>
      </c>
      <c r="O401" s="373">
        <f ca="1">+IF(L401&gt;0,N401*100/L401,0)</f>
        <v>53.799937480462646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IFERROR(__xludf.DUMMYFUNCTION("IMPORTRANGE(""https://docs.google.com/spreadsheets/d/1XL5vhW3sbDhbH9Cz0tuDiY8C3ctxq1tqvaCgkFb8cCA/edit?usp=sharing"",""มุกดาหาร!M299"")"),86053)</f>
        <v>86053</v>
      </c>
      <c r="O404" s="169">
        <f t="shared" ca="1" si="112"/>
        <v>53.799937480462646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IFERROR(__xludf.DUMMYFUNCTION("IMPORTRANGE(""https://docs.google.com/spreadsheets/d/1XL5vhW3sbDhbH9Cz0tuDiY8C3ctxq1tqvaCgkFb8cCA/edit?usp=sharing"",""มุกดาหาร!M301"")"),86053)</f>
        <v>86053</v>
      </c>
      <c r="O406" s="169">
        <f t="shared" ca="1" si="112"/>
        <v>53.799937480462646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IFERROR(__xludf.DUMMYFUNCTION("IMPORTRANGE(""https://docs.google.com/spreadsheets/d/1XL5vhW3sbDhbH9Cz0tuDiY8C3ctxq1tqvaCgkFb8cCA/edit?usp=sharing"",""มุกดาหาร!M330"")"),115875)</f>
        <v>115875</v>
      </c>
      <c r="O435" s="412">
        <f t="shared" ref="O435:O439" ca="1" si="114">+IF(L435&gt;0,N435*100/L435,0)</f>
        <v>83.363309352517987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IFERROR(__xludf.DUMMYFUNCTION("IMPORTRANGE(""https://docs.google.com/spreadsheets/d/1XL5vhW3sbDhbH9Cz0tuDiY8C3ctxq1tqvaCgkFb8cCA/edit?usp=sharing"",""มุกดาหาร!M332"")"),115875)</f>
        <v>115875</v>
      </c>
      <c r="O437" s="169">
        <f t="shared" ca="1" si="114"/>
        <v>83.363309352517987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IFERROR(__xludf.DUMMYFUNCTION("IMPORTRANGE(""https://docs.google.com/spreadsheets/d/1XL5vhW3sbDhbH9Cz0tuDiY8C3ctxq1tqvaCgkFb8cCA/edit?usp=sharing"",""มุกดาหาร!M334"")"),115875)</f>
        <v>115875</v>
      </c>
      <c r="O439" s="169">
        <f t="shared" ca="1" si="114"/>
        <v>83.363309352517987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IFERROR(__xludf.DUMMYFUNCTION("IMPORTRANGE(""https://docs.google.com/spreadsheets/d/1XL5vhW3sbDhbH9Cz0tuDiY8C3ctxq1tqvaCgkFb8cCA/edit?usp=sharing"",""มุกดาหาร!M335"")"),75185)</f>
        <v>75185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IFERROR(__xludf.DUMMYFUNCTION("IMPORTRANGE(""https://docs.google.com/spreadsheets/d/1XL5vhW3sbDhbH9Cz0tuDiY8C3ctxq1tqvaCgkFb8cCA/edit?usp=sharing"",""มุกดาหาร!M338"")"),40690)</f>
        <v>40690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IFERROR(__xludf.DUMMYFUNCTION("IMPORTRANGE(""https://docs.google.com/spreadsheets/d/1XL5vhW3sbDhbH9Cz0tuDiY8C3ctxq1tqvaCgkFb8cCA/edit?usp=sharing"",""มุกดาหาร!J350"")"),38742)</f>
        <v>38742</v>
      </c>
      <c r="K455" s="372">
        <f ca="1">IF(I455&gt;0,J455*100/I455,0)</f>
        <v>99.992257065427793</v>
      </c>
      <c r="L455" s="373">
        <f ca="1">IFERROR(__xludf.DUMMYFUNCTION("IMPORTRANGE(""https://docs.google.com/spreadsheets/d/1XL5vhW3sbDhbH9Cz0tuDiY8C3ctxq1tqvaCgkFb8cCA/edit?usp=sharing"",""มุกดาหาร!L350"")"),443218)</f>
        <v>443218</v>
      </c>
      <c r="M455" s="373"/>
      <c r="N455" s="373">
        <f ca="1">IFERROR(__xludf.DUMMYFUNCTION("IMPORTRANGE(""https://docs.google.com/spreadsheets/d/1XL5vhW3sbDhbH9Cz0tuDiY8C3ctxq1tqvaCgkFb8cCA/edit?usp=sharing"",""มุกดาหาร!M350"")"),188637)</f>
        <v>188637</v>
      </c>
      <c r="O455" s="373">
        <f t="shared" ref="O455:O459" ca="1" si="116">+IF(L455&gt;0,N455*100/L455,0)</f>
        <v>42.560771448813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IFERROR(__xludf.DUMMYFUNCTION("IMPORTRANGE(""https://docs.google.com/spreadsheets/d/1XL5vhW3sbDhbH9Cz0tuDiY8C3ctxq1tqvaCgkFb8cCA/edit?usp=sharing"",""มุกดาหาร!L352"")"),443218)</f>
        <v>443218</v>
      </c>
      <c r="M457" s="165"/>
      <c r="N457" s="169">
        <f ca="1">IFERROR(__xludf.DUMMYFUNCTION("IMPORTRANGE(""https://docs.google.com/spreadsheets/d/1XL5vhW3sbDhbH9Cz0tuDiY8C3ctxq1tqvaCgkFb8cCA/edit?usp=sharing"",""มุกดาหาร!M352"")"),188637)</f>
        <v>188637</v>
      </c>
      <c r="O457" s="169">
        <f t="shared" ca="1" si="116"/>
        <v>42.560771448813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IFERROR(__xludf.DUMMYFUNCTION("IMPORTRANGE(""https://docs.google.com/spreadsheets/d/1XL5vhW3sbDhbH9Cz0tuDiY8C3ctxq1tqvaCgkFb8cCA/edit?usp=sharing"",""มุกดาหาร!L354"")"),443218)</f>
        <v>443218</v>
      </c>
      <c r="M459" s="169"/>
      <c r="N459" s="169">
        <f ca="1">IFERROR(__xludf.DUMMYFUNCTION("IMPORTRANGE(""https://docs.google.com/spreadsheets/d/1XL5vhW3sbDhbH9Cz0tuDiY8C3ctxq1tqvaCgkFb8cCA/edit?usp=sharing"",""มุกดาหาร!M354"")"),188637)</f>
        <v>188637</v>
      </c>
      <c r="O459" s="169">
        <f t="shared" ca="1" si="116"/>
        <v>42.560771448813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IFERROR(__xludf.DUMMYFUNCTION("IMPORTRANGE(""https://docs.google.com/spreadsheets/d/1XL5vhW3sbDhbH9Cz0tuDiY8C3ctxq1tqvaCgkFb8cCA/edit?usp=sharing"",""มุกดาหาร!M357"")"),72966)</f>
        <v>72966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IFERROR(__xludf.DUMMYFUNCTION("IMPORTRANGE(""https://docs.google.com/spreadsheets/d/1XL5vhW3sbDhbH9Cz0tuDiY8C3ctxq1tqvaCgkFb8cCA/edit?usp=sharing"",""มุกดาหาร!M358"")"),115671)</f>
        <v>115671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IFERROR(__xludf.DUMMYFUNCTION("IMPORTRANGE(""https://docs.google.com/spreadsheets/d/1XL5vhW3sbDhbH9Cz0tuDiY8C3ctxq1tqvaCgkFb8cCA/edit?usp=sharing"",""มุกดาหาร!J359"")"),38742)</f>
        <v>38742</v>
      </c>
      <c r="K464" s="269">
        <f t="shared" ref="K464:K515" ca="1" si="117">IF(I464&gt;0,J464*100/I464,0)</f>
        <v>99.992257065427793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IFERROR(__xludf.DUMMYFUNCTION("IMPORTRANGE(""https://docs.google.com/spreadsheets/d/1XL5vhW3sbDhbH9Cz0tuDiY8C3ctxq1tqvaCgkFb8cCA/edit?usp=sharing"",""มุกดาหาร!J368"")"),38744.18)</f>
        <v>38744.18</v>
      </c>
      <c r="K473" s="202">
        <f t="shared" ca="1" si="117"/>
        <v>99.9978835978836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IFERROR(__xludf.DUMMYFUNCTION("IMPORTRANGE(""https://docs.google.com/spreadsheets/d/1XL5vhW3sbDhbH9Cz0tuDiY8C3ctxq1tqvaCgkFb8cCA/edit?usp=sharing"",""มุกดาหาร!J370"")"),33988.35)</f>
        <v>33988.35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IFERROR(__xludf.DUMMYFUNCTION("IMPORTRANGE(""https://docs.google.com/spreadsheets/d/1XL5vhW3sbDhbH9Cz0tuDiY8C3ctxq1tqvaCgkFb8cCA/edit?usp=sharing"",""มุกดาหาร!J376"")"),38742)</f>
        <v>38742</v>
      </c>
      <c r="K481" s="202">
        <f t="shared" ca="1" si="117"/>
        <v>99.992257065427793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IFERROR(__xludf.DUMMYFUNCTION("IMPORTRANGE(""https://docs.google.com/spreadsheets/d/1XL5vhW3sbDhbH9Cz0tuDiY8C3ctxq1tqvaCgkFb8cCA/edit?usp=sharing"",""มุกดาหาร!J377"")"),4714)</f>
        <v>4714</v>
      </c>
      <c r="K482" s="163">
        <f t="shared" ca="1" si="117"/>
        <v>99.978791092258746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IFERROR(__xludf.DUMMYFUNCTION("IMPORTRANGE(""https://docs.google.com/spreadsheets/d/1XL5vhW3sbDhbH9Cz0tuDiY8C3ctxq1tqvaCgkFb8cCA/edit?usp=sharing"",""มุกดาหาร!J378"")"),35807)</f>
        <v>35807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IFERROR(__xludf.DUMMYFUNCTION("IMPORTRANGE(""https://docs.google.com/spreadsheets/d/1XL5vhW3sbDhbH9Cz0tuDiY8C3ctxq1tqvaCgkFb8cCA/edit?usp=sharing"",""มุกดาหาร!J379"")"),4413)</f>
        <v>4413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IFERROR(__xludf.DUMMYFUNCTION("IMPORTRANGE(""https://docs.google.com/spreadsheets/d/1XL5vhW3sbDhbH9Cz0tuDiY8C3ctxq1tqvaCgkFb8cCA/edit?usp=sharing"",""มุกดาหาร!J380"")"),74)</f>
        <v>74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IFERROR(__xludf.DUMMYFUNCTION("IMPORTRANGE(""https://docs.google.com/spreadsheets/d/1XL5vhW3sbDhbH9Cz0tuDiY8C3ctxq1tqvaCgkFb8cCA/edit?usp=sharing"",""มุกดาหาร!J381"")"),9)</f>
        <v>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IFERROR(__xludf.DUMMYFUNCTION("IMPORTRANGE(""https://docs.google.com/spreadsheets/d/1XL5vhW3sbDhbH9Cz0tuDiY8C3ctxq1tqvaCgkFb8cCA/edit?usp=sharing"",""มุกดาหาร!J382"")"),1050)</f>
        <v>1050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IFERROR(__xludf.DUMMYFUNCTION("IMPORTRANGE(""https://docs.google.com/spreadsheets/d/1XL5vhW3sbDhbH9Cz0tuDiY8C3ctxq1tqvaCgkFb8cCA/edit?usp=sharing"",""มุกดาหาร!J383"")"),117)</f>
        <v>117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IFERROR(__xludf.DUMMYFUNCTION("IMPORTRANGE(""https://docs.google.com/spreadsheets/d/1XL5vhW3sbDhbH9Cz0tuDiY8C3ctxq1tqvaCgkFb8cCA/edit?usp=sharing"",""มุกดาหาร!J384"")"),1050)</f>
        <v>1050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IFERROR(__xludf.DUMMYFUNCTION("IMPORTRANGE(""https://docs.google.com/spreadsheets/d/1XL5vhW3sbDhbH9Cz0tuDiY8C3ctxq1tqvaCgkFb8cCA/edit?usp=sharing"",""มุกดาหาร!J385"")"),117)</f>
        <v>117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IFERROR(__xludf.DUMMYFUNCTION("IMPORTRANGE(""https://docs.google.com/spreadsheets/d/1XL5vhW3sbDhbH9Cz0tuDiY8C3ctxq1tqvaCgkFb8cCA/edit?usp=sharing"",""มุกดาหาร!J388"")"),1811)</f>
        <v>1811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IFERROR(__xludf.DUMMYFUNCTION("IMPORTRANGE(""https://docs.google.com/spreadsheets/d/1XL5vhW3sbDhbH9Cz0tuDiY8C3ctxq1tqvaCgkFb8cCA/edit?usp=sharing"",""มุกดาหาร!J389"")"),175)</f>
        <v>175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IFERROR(__xludf.DUMMYFUNCTION("IMPORTRANGE(""https://docs.google.com/spreadsheets/d/1XL5vhW3sbDhbH9Cz0tuDiY8C3ctxq1tqvaCgkFb8cCA/edit?usp=sharing"",""มุกดาหาร!J392"")"),783)</f>
        <v>783</v>
      </c>
      <c r="K497" s="444">
        <f t="shared" ca="1" si="117"/>
        <v>34.357174199210178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IFERROR(__xludf.DUMMYFUNCTION("IMPORTRANGE(""https://docs.google.com/spreadsheets/d/1XL5vhW3sbDhbH9Cz0tuDiY8C3ctxq1tqvaCgkFb8cCA/edit?usp=sharing"",""มุกดาหาร!J393"")"),783)</f>
        <v>783</v>
      </c>
      <c r="K498" s="202">
        <f t="shared" ca="1" si="117"/>
        <v>34.357174199210178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IFERROR(__xludf.DUMMYFUNCTION("IMPORTRANGE(""https://docs.google.com/spreadsheets/d/1XL5vhW3sbDhbH9Cz0tuDiY8C3ctxq1tqvaCgkFb8cCA/edit?usp=sharing"",""มุกดาหาร!J394"")"),59)</f>
        <v>59</v>
      </c>
      <c r="K499" s="202">
        <f t="shared" ca="1" si="117"/>
        <v>31.382978723404257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IFERROR(__xludf.DUMMYFUNCTION("IMPORTRANGE(""https://docs.google.com/spreadsheets/d/1XL5vhW3sbDhbH9Cz0tuDiY8C3ctxq1tqvaCgkFb8cCA/edit?usp=sharing"",""มุกดาหาร!J395"")"),686)</f>
        <v>686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IFERROR(__xludf.DUMMYFUNCTION("IMPORTRANGE(""https://docs.google.com/spreadsheets/d/1XL5vhW3sbDhbH9Cz0tuDiY8C3ctxq1tqvaCgkFb8cCA/edit?usp=sharing"",""มุกดาหาร!J396"")"),55)</f>
        <v>55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IFERROR(__xludf.DUMMYFUNCTION("IMPORTRANGE(""https://docs.google.com/spreadsheets/d/1XL5vhW3sbDhbH9Cz0tuDiY8C3ctxq1tqvaCgkFb8cCA/edit?usp=sharing"",""มุกดาหาร!J397"")"),537)</f>
        <v>537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IFERROR(__xludf.DUMMYFUNCTION("IMPORTRANGE(""https://docs.google.com/spreadsheets/d/1XL5vhW3sbDhbH9Cz0tuDiY8C3ctxq1tqvaCgkFb8cCA/edit?usp=sharing"",""มุกดาหาร!J398"")"),34)</f>
        <v>34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IFERROR(__xludf.DUMMYFUNCTION("IMPORTRANGE(""https://docs.google.com/spreadsheets/d/1XL5vhW3sbDhbH9Cz0tuDiY8C3ctxq1tqvaCgkFb8cCA/edit?usp=sharing"",""มุกดาหาร!J399"")"),149)</f>
        <v>149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IFERROR(__xludf.DUMMYFUNCTION("IMPORTRANGE(""https://docs.google.com/spreadsheets/d/1XL5vhW3sbDhbH9Cz0tuDiY8C3ctxq1tqvaCgkFb8cCA/edit?usp=sharing"",""มุกดาหาร!J400"")"),21)</f>
        <v>21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IFERROR(__xludf.DUMMYFUNCTION("IMPORTRANGE(""https://docs.google.com/spreadsheets/d/1XL5vhW3sbDhbH9Cz0tuDiY8C3ctxq1tqvaCgkFb8cCA/edit?usp=sharing"",""มุกดาหาร!J405"")"),84)</f>
        <v>84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IFERROR(__xludf.DUMMYFUNCTION("IMPORTRANGE(""https://docs.google.com/spreadsheets/d/1XL5vhW3sbDhbH9Cz0tuDiY8C3ctxq1tqvaCgkFb8cCA/edit?usp=sharing"",""มุกดาหาร!J406"")"),3)</f>
        <v>3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IFERROR(__xludf.DUMMYFUNCTION("IMPORTRANGE(""https://docs.google.com/spreadsheets/d/1XL5vhW3sbDhbH9Cz0tuDiY8C3ctxq1tqvaCgkFb8cCA/edit?usp=sharing"",""มุกดาหาร!J409"")"),13)</f>
        <v>13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IFERROR(__xludf.DUMMYFUNCTION("IMPORTRANGE(""https://docs.google.com/spreadsheets/d/1XL5vhW3sbDhbH9Cz0tuDiY8C3ctxq1tqvaCgkFb8cCA/edit?usp=sharing"",""มุกดาหาร!J459"")"),2141)</f>
        <v>2141</v>
      </c>
      <c r="K564" s="372">
        <f ca="1">IF(I564&gt;0,J564*100/I564,0)</f>
        <v>118.94444444444444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IFERROR(__xludf.DUMMYFUNCTION("IMPORTRANGE(""https://docs.google.com/spreadsheets/d/1XL5vhW3sbDhbH9Cz0tuDiY8C3ctxq1tqvaCgkFb8cCA/edit?usp=sharing"",""มุกดาหาร!M459"")"),90179.3)</f>
        <v>90179.3</v>
      </c>
      <c r="O564" s="373">
        <f t="shared" ref="O564:O568" ca="1" si="122">+IF(L564&gt;0,N564*100/L564,0)</f>
        <v>66.075102579132476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IFERROR(__xludf.DUMMYFUNCTION("IMPORTRANGE(""https://docs.google.com/spreadsheets/d/1XL5vhW3sbDhbH9Cz0tuDiY8C3ctxq1tqvaCgkFb8cCA/edit?usp=sharing"",""มุกดาหาร!M461"")"),90179.3)</f>
        <v>90179.3</v>
      </c>
      <c r="O566" s="169">
        <f t="shared" ca="1" si="122"/>
        <v>66.075102579132476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IFERROR(__xludf.DUMMYFUNCTION("IMPORTRANGE(""https://docs.google.com/spreadsheets/d/1XL5vhW3sbDhbH9Cz0tuDiY8C3ctxq1tqvaCgkFb8cCA/edit?usp=sharing"",""มุกดาหาร!M463"")"),90179.3)</f>
        <v>90179.3</v>
      </c>
      <c r="O568" s="169">
        <f t="shared" ca="1" si="122"/>
        <v>66.075102579132476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IFERROR(__xludf.DUMMYFUNCTION("IMPORTRANGE(""https://docs.google.com/spreadsheets/d/1XL5vhW3sbDhbH9Cz0tuDiY8C3ctxq1tqvaCgkFb8cCA/edit?usp=sharing"",""มุกดาหาร!M467"")"),30046.3)</f>
        <v>30046.3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IFERROR(__xludf.DUMMYFUNCTION("IMPORTRANGE(""https://docs.google.com/spreadsheets/d/1XL5vhW3sbDhbH9Cz0tuDiY8C3ctxq1tqvaCgkFb8cCA/edit?usp=sharing"",""มุกดาหาร!J468"")"),2141)</f>
        <v>2141</v>
      </c>
      <c r="K573" s="202">
        <f ca="1">IF(I573&gt;0,J573*100/I573,0)</f>
        <v>118.94444444444444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IFERROR(__xludf.DUMMYFUNCTION("IMPORTRANGE(""https://docs.google.com/spreadsheets/d/1XL5vhW3sbDhbH9Cz0tuDiY8C3ctxq1tqvaCgkFb8cCA/edit?usp=sharing"",""มุกดาหาร!J471"")"),391)</f>
        <v>391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IFERROR(__xludf.DUMMYFUNCTION("IMPORTRANGE(""https://docs.google.com/spreadsheets/d/1XL5vhW3sbDhbH9Cz0tuDiY8C3ctxq1tqvaCgkFb8cCA/edit?usp=sharing"",""มุกดาหาร!J472"")"),1750)</f>
        <v>1750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IFERROR(__xludf.DUMMYFUNCTION("IMPORTRANGE(""https://docs.google.com/spreadsheets/d/1XL5vhW3sbDhbH9Cz0tuDiY8C3ctxq1tqvaCgkFb8cCA/edit?usp=sharing"",""มุกดาหาร!M475"")"),109735)</f>
        <v>109735</v>
      </c>
      <c r="O580" s="373">
        <f t="shared" ref="O580:O584" ca="1" si="124">+IF(L580&gt;0,N580*100/L580,0)</f>
        <v>81.623772686700391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IFERROR(__xludf.DUMMYFUNCTION("IMPORTRANGE(""https://docs.google.com/spreadsheets/d/1XL5vhW3sbDhbH9Cz0tuDiY8C3ctxq1tqvaCgkFb8cCA/edit?usp=sharing"",""มุกดาหาร!M477"")"),109735)</f>
        <v>109735</v>
      </c>
      <c r="O582" s="169">
        <f t="shared" ca="1" si="124"/>
        <v>81.623772686700391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IFERROR(__xludf.DUMMYFUNCTION("IMPORTRANGE(""https://docs.google.com/spreadsheets/d/1XL5vhW3sbDhbH9Cz0tuDiY8C3ctxq1tqvaCgkFb8cCA/edit?usp=sharing"",""มุกดาหาร!M479"")"),109735)</f>
        <v>109735</v>
      </c>
      <c r="O584" s="169">
        <f t="shared" ca="1" si="124"/>
        <v>81.623772686700391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IFERROR(__xludf.DUMMYFUNCTION("IMPORTRANGE(""https://docs.google.com/spreadsheets/d/1XL5vhW3sbDhbH9Cz0tuDiY8C3ctxq1tqvaCgkFb8cCA/edit?usp=sharing"",""มุกดาหาร!M483"")"),109735)</f>
        <v>109735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IFERROR(__xludf.DUMMYFUNCTION("IMPORTRANGE(""https://docs.google.com/spreadsheets/d/1XL5vhW3sbDhbH9Cz0tuDiY8C3ctxq1tqvaCgkFb8cCA/edit?usp=sharing"",""มุกดาหาร!J486"")"),44)</f>
        <v>44</v>
      </c>
      <c r="K591" s="163">
        <f t="shared" ca="1" si="125"/>
        <v>110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IFERROR(__xludf.DUMMYFUNCTION("IMPORTRANGE(""https://docs.google.com/spreadsheets/d/1XL5vhW3sbDhbH9Cz0tuDiY8C3ctxq1tqvaCgkFb8cCA/edit?usp=sharing"",""มุกดาหาร!J487"")"),34.53)</f>
        <v>34.53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IFERROR(__xludf.DUMMYFUNCTION("IMPORTRANGE(""https://docs.google.com/spreadsheets/d/1XL5vhW3sbDhbH9Cz0tuDiY8C3ctxq1tqvaCgkFb8cCA/edit?usp=sharing"",""มุกดาหาร!J488"")"),48)</f>
        <v>48</v>
      </c>
      <c r="K593" s="163">
        <f t="shared" ca="1" si="125"/>
        <v>120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IFERROR(__xludf.DUMMYFUNCTION("IMPORTRANGE(""https://docs.google.com/spreadsheets/d/1XL5vhW3sbDhbH9Cz0tuDiY8C3ctxq1tqvaCgkFb8cCA/edit?usp=sharing"",""มุกดาหาร!J489"")"),31.46)</f>
        <v>31.46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IFERROR(__xludf.DUMMYFUNCTION("IMPORTRANGE(""https://docs.google.com/spreadsheets/d/1XL5vhW3sbDhbH9Cz0tuDiY8C3ctxq1tqvaCgkFb8cCA/edit?usp=sharing"",""มุกดาหาร!L494"")"),8100)</f>
        <v>8100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9.8765432098765427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IFERROR(__xludf.DUMMYFUNCTION("IMPORTRANGE(""https://docs.google.com/spreadsheets/d/1XL5vhW3sbDhbH9Cz0tuDiY8C3ctxq1tqvaCgkFb8cCA/edit?usp=sharing"",""มุกดาหาร!L496"")"),8100)</f>
        <v>8100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9.8765432098765427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IFERROR(__xludf.DUMMYFUNCTION("IMPORTRANGE(""https://docs.google.com/spreadsheets/d/1XL5vhW3sbDhbH9Cz0tuDiY8C3ctxq1tqvaCgkFb8cCA/edit?usp=sharing"",""มุกดาหาร!J166"")"),0)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IFERROR(__xludf.DUMMYFUNCTION("IMPORTRANGE(""https://docs.google.com/spreadsheets/d/1XL5vhW3sbDhbH9Cz0tuDiY8C3ctxq1tqvaCgkFb8cCA/edit?usp=sharing"",""มุกดาหาร!J166"")"),0)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IFERROR(__xludf.DUMMYFUNCTION("IMPORTRANGE(""https://docs.google.com/spreadsheets/d/1XL5vhW3sbDhbH9Cz0tuDiY8C3ctxq1tqvaCgkFb8cCA/edit?usp=sharing"",""มุกดาหาร!J523"")"),4448654.51)</f>
        <v>4448654.51</v>
      </c>
      <c r="K628" s="343">
        <f t="shared" ref="K628:K635" ca="1" si="129">IF(I628&gt;0,J628*100/I628,0)</f>
        <v>83.222992912311213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IFERROR(__xludf.DUMMYFUNCTION("IMPORTRANGE(""https://docs.google.com/spreadsheets/d/1XL5vhW3sbDhbH9Cz0tuDiY8C3ctxq1tqvaCgkFb8cCA/edit?usp=sharing"",""มุกดาหาร!J524"")"),403)</f>
        <v>403</v>
      </c>
      <c r="K629" s="343">
        <f t="shared" ca="1" si="129"/>
        <v>82.581967213114751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IFERROR(__xludf.DUMMYFUNCTION("IMPORTRANGE(""https://docs.google.com/spreadsheets/d/1XL5vhW3sbDhbH9Cz0tuDiY8C3ctxq1tqvaCgkFb8cCA/edit?usp=sharing"",""มุกดาหาร!J525"")"),336264.33)</f>
        <v>336264.33</v>
      </c>
      <c r="K630" s="343">
        <f t="shared" ca="1" si="129"/>
        <v>9.181744754075666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IFERROR(__xludf.DUMMYFUNCTION("IMPORTRANGE(""https://docs.google.com/spreadsheets/d/1XL5vhW3sbDhbH9Cz0tuDiY8C3ctxq1tqvaCgkFb8cCA/edit?usp=sharing"",""มุกดาหาร!J526"")"),51)</f>
        <v>51</v>
      </c>
      <c r="K631" s="343">
        <f t="shared" ca="1" si="129"/>
        <v>22.666666666666668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IFERROR(__xludf.DUMMYFUNCTION("IMPORTRANGE(""https://docs.google.com/spreadsheets/d/1XL5vhW3sbDhbH9Cz0tuDiY8C3ctxq1tqvaCgkFb8cCA/edit?usp=sharing"",""มุกดาหาร!J529"")"),4195000)</f>
        <v>4195000</v>
      </c>
      <c r="K634" s="343">
        <f t="shared" ca="1" si="129"/>
        <v>59.50354609929078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IFERROR(__xludf.DUMMYFUNCTION("IMPORTRANGE(""https://docs.google.com/spreadsheets/d/1XL5vhW3sbDhbH9Cz0tuDiY8C3ctxq1tqvaCgkFb8cCA/edit?usp=sharing"",""มุกดาหาร!I530"")"),165)</f>
        <v>165</v>
      </c>
      <c r="J635" s="504">
        <f ca="1">IFERROR(__xludf.DUMMYFUNCTION("IMPORTRANGE(""https://docs.google.com/spreadsheets/d/1XL5vhW3sbDhbH9Cz0tuDiY8C3ctxq1tqvaCgkFb8cCA/edit?usp=sharing"",""มุกดาหาร!J530"")"),119)</f>
        <v>119</v>
      </c>
      <c r="K635" s="486">
        <f t="shared" ca="1" si="129"/>
        <v>72.121212121212125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IFERROR(__xludf.DUMMYFUNCTION("IMPORTRANGE(""https://docs.google.com/spreadsheets/d/1XL5vhW3sbDhbH9Cz0tuDiY8C3ctxq1tqvaCgkFb8cCA/edit#gid=346597447"",""มุกดาหาร!J541"")"),0)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IFERROR(__xludf.DUMMYFUNCTION("IMPORTRANGE(""https://docs.google.com/spreadsheets/d/1XL5vhW3sbDhbH9Cz0tuDiY8C3ctxq1tqvaCgkFb8cCA/edit#gid=346597447"",""มุกดาหาร!J542"")"),0)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IFERROR(__xludf.DUMMYFUNCTION("IMPORTRANGE(""https://docs.google.com/spreadsheets/d/1XL5vhW3sbDhbH9Cz0tuDiY8C3ctxq1tqvaCgkFb8cCA/edit#gid=346597447"",""มุกดาหาร!I543"")"),0)</f>
        <v>0</v>
      </c>
      <c r="J648" s="585">
        <f ca="1">IFERROR(__xludf.DUMMYFUNCTION("IMPORTRANGE(""https://docs.google.com/spreadsheets/d/1XL5vhW3sbDhbH9Cz0tuDiY8C3ctxq1tqvaCgkFb8cCA/edit#gid=346597447"",""มุกดาหาร!J543"")"),0)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IFERROR(__xludf.DUMMYFUNCTION("IMPORTRANGE(""https://docs.google.com/spreadsheets/d/1XL5vhW3sbDhbH9Cz0tuDiY8C3ctxq1tqvaCgkFb8cCA/edit#gid=346597447"",""มุกดาหาร!L543"")"),0)</f>
        <v>0</v>
      </c>
      <c r="M648" s="570"/>
      <c r="N648" s="587">
        <f ca="1">IFERROR(__xludf.DUMMYFUNCTION("IMPORTRANGE(""https://docs.google.com/spreadsheets/d/1XL5vhW3sbDhbH9Cz0tuDiY8C3ctxq1tqvaCgkFb8cCA/edit#gid=346597447"",""มุกดาหาร!M543"")"),0)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IFERROR(__xludf.DUMMYFUNCTION("IMPORTRANGE(""https://docs.google.com/spreadsheets/d/1XL5vhW3sbDhbH9Cz0tuDiY8C3ctxq1tqvaCgkFb8cCA/edit#gid=346597447"",""มุกดาหาร!I544"")"),0)</f>
        <v>0</v>
      </c>
      <c r="J649" s="585">
        <f ca="1">IFERROR(__xludf.DUMMYFUNCTION("IMPORTRANGE(""https://docs.google.com/spreadsheets/d/1XL5vhW3sbDhbH9Cz0tuDiY8C3ctxq1tqvaCgkFb8cCA/edit#gid=346597447"",""มุกดาหาร!J544"")"),0)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IFERROR(__xludf.DUMMYFUNCTION("IMPORTRANGE(""https://docs.google.com/spreadsheets/d/1XL5vhW3sbDhbH9Cz0tuDiY8C3ctxq1tqvaCgkFb8cCA/edit#gid=346597447"",""มุกดาหาร!L544"")"),0)</f>
        <v>0</v>
      </c>
      <c r="M649" s="570"/>
      <c r="N649" s="587">
        <f ca="1">IFERROR(__xludf.DUMMYFUNCTION("IMPORTRANGE(""https://docs.google.com/spreadsheets/d/1XL5vhW3sbDhbH9Cz0tuDiY8C3ctxq1tqvaCgkFb8cCA/edit#gid=346597447"",""มุกดาหาร!M544"")"),0)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IFERROR(__xludf.DUMMYFUNCTION("IMPORTRANGE(""https://docs.google.com/spreadsheets/d/1XL5vhW3sbDhbH9Cz0tuDiY8C3ctxq1tqvaCgkFb8cCA/edit#gid=346597447"",""มุกดาหาร!I545"")"),0)</f>
        <v>0</v>
      </c>
      <c r="J650" s="585">
        <f ca="1">IFERROR(__xludf.DUMMYFUNCTION("IMPORTRANGE(""https://docs.google.com/spreadsheets/d/1XL5vhW3sbDhbH9Cz0tuDiY8C3ctxq1tqvaCgkFb8cCA/edit#gid=346597447"",""มุกดาหาร!J545"")"),0)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IFERROR(__xludf.DUMMYFUNCTION("IMPORTRANGE(""https://docs.google.com/spreadsheets/d/1XL5vhW3sbDhbH9Cz0tuDiY8C3ctxq1tqvaCgkFb8cCA/edit#gid=346597447"",""มุกดาหาร!L545"")"),0)</f>
        <v>0</v>
      </c>
      <c r="M650" s="570"/>
      <c r="N650" s="587">
        <f ca="1">IFERROR(__xludf.DUMMYFUNCTION("IMPORTRANGE(""https://docs.google.com/spreadsheets/d/1XL5vhW3sbDhbH9Cz0tuDiY8C3ctxq1tqvaCgkFb8cCA/edit#gid=346597447"",""มุกดาหาร!M545"")"),0)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IFERROR(__xludf.DUMMYFUNCTION("IMPORTRANGE(""https://docs.google.com/spreadsheets/d/1XL5vhW3sbDhbH9Cz0tuDiY8C3ctxq1tqvaCgkFb8cCA/edit#gid=346597447"",""มุกดาหาร!I546"")"),0)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IFERROR(__xludf.DUMMYFUNCTION("IMPORTRANGE(""https://docs.google.com/spreadsheets/d/1XL5vhW3sbDhbH9Cz0tuDiY8C3ctxq1tqvaCgkFb8cCA/edit#gid=346597447"",""มุกดาหาร!L546"")"),0)</f>
        <v>0</v>
      </c>
      <c r="M651" s="570"/>
      <c r="N651" s="587">
        <f ca="1">IFERROR(__xludf.DUMMYFUNCTION("IMPORTRANGE(""https://docs.google.com/spreadsheets/d/1XL5vhW3sbDhbH9Cz0tuDiY8C3ctxq1tqvaCgkFb8cCA/edit#gid=346597447"",""มุกดาหาร!M546"")"),0)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IFERROR(__xludf.DUMMYFUNCTION("IMPORTRANGE(""https://docs.google.com/spreadsheets/d/1XL5vhW3sbDhbH9Cz0tuDiY8C3ctxq1tqvaCgkFb8cCA/edit#gid=346597447"",""มุกดาหาร!J547"")"),0)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IFERROR(__xludf.DUMMYFUNCTION("IMPORTRANGE(""https://docs.google.com/spreadsheets/d/1XL5vhW3sbDhbH9Cz0tuDiY8C3ctxq1tqvaCgkFb8cCA/edit#gid=346597447"",""มุกดาหาร!J548"")"),0)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IFERROR(__xludf.DUMMYFUNCTION("IMPORTRANGE(""https://docs.google.com/spreadsheets/d/1XL5vhW3sbDhbH9Cz0tuDiY8C3ctxq1tqvaCgkFb8cCA/edit#gid=346597447"",""มุกดาหาร!J550"")"),0)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IFERROR(__xludf.DUMMYFUNCTION("IMPORTRANGE(""https://docs.google.com/spreadsheets/d/1XL5vhW3sbDhbH9Cz0tuDiY8C3ctxq1tqvaCgkFb8cCA/edit#gid=346597447"",""มุกดาหาร!J551"")"),0)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IFERROR(__xludf.DUMMYFUNCTION("IMPORTRANGE(""https://docs.google.com/spreadsheets/d/1XL5vhW3sbDhbH9Cz0tuDiY8C3ctxq1tqvaCgkFb8cCA/edit#gid=346597447"",""มุกดาหาร!J552"")"),0)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IFERROR(__xludf.DUMMYFUNCTION("IMPORTRANGE(""https://docs.google.com/spreadsheets/d/1XL5vhW3sbDhbH9Cz0tuDiY8C3ctxq1tqvaCgkFb8cCA/edit#gid=346597447"",""มุกดาหาร!J553"")"),0)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IFERROR(__xludf.DUMMYFUNCTION("IMPORTRANGE(""https://docs.google.com/spreadsheets/d/1XL5vhW3sbDhbH9Cz0tuDiY8C3ctxq1tqvaCgkFb8cCA/edit#gid=346597447"",""มุกดาหาร!J554"")"),0)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IFERROR(__xludf.DUMMYFUNCTION("IMPORTRANGE(""https://docs.google.com/spreadsheets/d/1XL5vhW3sbDhbH9Cz0tuDiY8C3ctxq1tqvaCgkFb8cCA/edit#gid=346597447"",""มุกดาหาร!J555"")"),0)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IFERROR(__xludf.DUMMYFUNCTION("IMPORTRANGE(""https://docs.google.com/spreadsheets/d/1XL5vhW3sbDhbH9Cz0tuDiY8C3ctxq1tqvaCgkFb8cCA/edit#gid=346597447"",""มุกดาหาร!J556"")"),0)</f>
        <v>0</v>
      </c>
      <c r="K661" s="586"/>
      <c r="L661" s="571">
        <f ca="1">IFERROR(__xludf.DUMMYFUNCTION("IMPORTRANGE(""https://docs.google.com/spreadsheets/d/1XL5vhW3sbDhbH9Cz0tuDiY8C3ctxq1tqvaCgkFb8cCA/edit#gid=346597447"",""มุกดาหาร!L556"")"),0)</f>
        <v>0</v>
      </c>
      <c r="M661" s="570"/>
      <c r="N661" s="587">
        <f ca="1">IFERROR(__xludf.DUMMYFUNCTION("IMPORTRANGE(""https://docs.google.com/spreadsheets/d/1XL5vhW3sbDhbH9Cz0tuDiY8C3ctxq1tqvaCgkFb8cCA/edit#gid=346597447"",""มุกดาหาร!M556"")"),0)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IFERROR(__xludf.DUMMYFUNCTION("IMPORTRANGE(""https://docs.google.com/spreadsheets/d/1XL5vhW3sbDhbH9Cz0tuDiY8C3ctxq1tqvaCgkFb8cCA/edit#gid=346597447"",""มุกดาหาร!J557"")"),0)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IFERROR(__xludf.DUMMYFUNCTION("IMPORTRANGE(""https://docs.google.com/spreadsheets/d/1XL5vhW3sbDhbH9Cz0tuDiY8C3ctxq1tqvaCgkFb8cCA/edit#gid=346597447"",""มุกดาหาร!I558"")"),0)</f>
        <v>0</v>
      </c>
      <c r="J663" s="585">
        <f ca="1">IFERROR(__xludf.DUMMYFUNCTION("IMPORTRANGE(""https://docs.google.com/spreadsheets/d/1XL5vhW3sbDhbH9Cz0tuDiY8C3ctxq1tqvaCgkFb8cCA/edit#gid=346597447"",""มุกดาหาร!J558"")"),0)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IFERROR(__xludf.DUMMYFUNCTION("IMPORTRANGE(""https://docs.google.com/spreadsheets/d/1XL5vhW3sbDhbH9Cz0tuDiY8C3ctxq1tqvaCgkFb8cCA/edit#gid=346597447"",""มุกดาหาร!I560"")"),0)</f>
        <v>0</v>
      </c>
      <c r="J665" s="585">
        <f ca="1">IFERROR(__xludf.DUMMYFUNCTION("IMPORTRANGE(""https://docs.google.com/spreadsheets/d/1XL5vhW3sbDhbH9Cz0tuDiY8C3ctxq1tqvaCgkFb8cCA/edit#gid=346597447"",""มุกดาหาร!J560"")"),0)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IFERROR(__xludf.DUMMYFUNCTION("IMPORTRANGE(""https://docs.google.com/spreadsheets/d/1XL5vhW3sbDhbH9Cz0tuDiY8C3ctxq1tqvaCgkFb8cCA/edit#gid=346597447"",""มุกดาหาร!L560"")"),0)</f>
        <v>0</v>
      </c>
      <c r="M665" s="570"/>
      <c r="N665" s="587">
        <f ca="1">IFERROR(__xludf.DUMMYFUNCTION("IMPORTRANGE(""https://docs.google.com/spreadsheets/d/1XL5vhW3sbDhbH9Cz0tuDiY8C3ctxq1tqvaCgkFb8cCA/edit#gid=346597447"",""มุกดาหาร!M560"")"),0)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IFERROR(__xludf.DUMMYFUNCTION("IMPORTRANGE(""https://docs.google.com/spreadsheets/d/1XL5vhW3sbDhbH9Cz0tuDiY8C3ctxq1tqvaCgkFb8cCA/edit#gid=346597447"",""มุกดาหาร!J561"")"),0)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IFERROR(__xludf.DUMMYFUNCTION("IMPORTRANGE(""https://docs.google.com/spreadsheets/d/1XL5vhW3sbDhbH9Cz0tuDiY8C3ctxq1tqvaCgkFb8cCA/edit#gid=346597447"",""มุกดาหาร!J562"")"),0)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IFERROR(__xludf.DUMMYFUNCTION("IMPORTRANGE(""https://docs.google.com/spreadsheets/d/1XL5vhW3sbDhbH9Cz0tuDiY8C3ctxq1tqvaCgkFb8cCA/edit#gid=346597447"",""มุกดาหาร!I563"")"),0)</f>
        <v>0</v>
      </c>
      <c r="J668" s="585">
        <f ca="1">IFERROR(__xludf.DUMMYFUNCTION("IMPORTRANGE(""https://docs.google.com/spreadsheets/d/1XL5vhW3sbDhbH9Cz0tuDiY8C3ctxq1tqvaCgkFb8cCA/edit#gid=346597447"",""มุกดาหาร!J563"")"),0)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IFERROR(__xludf.DUMMYFUNCTION("IMPORTRANGE(""https://docs.google.com/spreadsheets/d/1XL5vhW3sbDhbH9Cz0tuDiY8C3ctxq1tqvaCgkFb8cCA/edit#gid=346597447"",""มุกดาหาร!L563"")"),0)</f>
        <v>0</v>
      </c>
      <c r="M668" s="570"/>
      <c r="N668" s="587">
        <f ca="1">IFERROR(__xludf.DUMMYFUNCTION("IMPORTRANGE(""https://docs.google.com/spreadsheets/d/1XL5vhW3sbDhbH9Cz0tuDiY8C3ctxq1tqvaCgkFb8cCA/edit#gid=346597447"",""มุกดาหาร!M563"")"),0)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IFERROR(__xludf.DUMMYFUNCTION("IMPORTRANGE(""https://docs.google.com/spreadsheets/d/1XL5vhW3sbDhbH9Cz0tuDiY8C3ctxq1tqvaCgkFb8cCA/edit#gid=346597447"",""มุกดาหาร!J564"")"),0)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IFERROR(__xludf.DUMMYFUNCTION("IMPORTRANGE(""https://docs.google.com/spreadsheets/d/1XL5vhW3sbDhbH9Cz0tuDiY8C3ctxq1tqvaCgkFb8cCA/edit#gid=346597447"",""มุกดาหาร!J565"")"),0)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IFERROR(__xludf.DUMMYFUNCTION("IMPORTRANGE(""https://docs.google.com/spreadsheets/d/1XL5vhW3sbDhbH9Cz0tuDiY8C3ctxq1tqvaCgkFb8cCA/edit#gid=346597447"",""มุกดาหาร!I566"")"),0)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IFERROR(__xludf.DUMMYFUNCTION("IMPORTRANGE(""https://docs.google.com/spreadsheets/d/1XL5vhW3sbDhbH9Cz0tuDiY8C3ctxq1tqvaCgkFb8cCA/edit#gid=346597447"",""มุกดาหาร!L566"")"),0)</f>
        <v>0</v>
      </c>
      <c r="M671" s="570"/>
      <c r="N671" s="587">
        <f ca="1">IFERROR(__xludf.DUMMYFUNCTION("IMPORTRANGE(""https://docs.google.com/spreadsheets/d/1XL5vhW3sbDhbH9Cz0tuDiY8C3ctxq1tqvaCgkFb8cCA/edit#gid=346597447"",""มุกดาหาร!M566"")"),0)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IFERROR(__xludf.DUMMYFUNCTION("IMPORTRANGE(""https://docs.google.com/spreadsheets/d/1XL5vhW3sbDhbH9Cz0tuDiY8C3ctxq1tqvaCgkFb8cCA/edit#gid=346597447"",""มุกดาหาร!J567"")"),0)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IFERROR(__xludf.DUMMYFUNCTION("IMPORTRANGE(""https://docs.google.com/spreadsheets/d/1XL5vhW3sbDhbH9Cz0tuDiY8C3ctxq1tqvaCgkFb8cCA/edit#gid=346597447"",""มุกดาหาร!J568"")"),0)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IFERROR(__xludf.DUMMYFUNCTION("IMPORTRANGE(""https://docs.google.com/spreadsheets/d/1XL5vhW3sbDhbH9Cz0tuDiY8C3ctxq1tqvaCgkFb8cCA/edit#gid=346597447"",""มุกดาหาร!J569"")"),0)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IFERROR(__xludf.DUMMYFUNCTION("IMPORTRANGE(""https://docs.google.com/spreadsheets/d/1XL5vhW3sbDhbH9Cz0tuDiY8C3ctxq1tqvaCgkFb8cCA/edit#gid=346597447"",""มุกดาหาร!J570"")"),0)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IFERROR(__xludf.DUMMYFUNCTION("IMPORTRANGE(""https://docs.google.com/spreadsheets/d/1XL5vhW3sbDhbH9Cz0tuDiY8C3ctxq1tqvaCgkFb8cCA/edit#gid=346597447"",""มุกดาหาร!J571"")"),0)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IFERROR(__xludf.DUMMYFUNCTION("IMPORTRANGE(""https://docs.google.com/spreadsheets/d/1XL5vhW3sbDhbH9Cz0tuDiY8C3ctxq1tqvaCgkFb8cCA/edit#gid=346597447"",""มุกดาหาร!J572"")"),0)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5983590</v>
      </c>
      <c r="M8" s="23">
        <f t="shared" ca="1" si="0"/>
        <v>2934760</v>
      </c>
      <c r="N8" s="23">
        <f t="shared" ca="1" si="0"/>
        <v>3576077.52</v>
      </c>
      <c r="O8" s="22">
        <f t="shared" ref="O8:O16" ca="1" si="1">IF(L8&gt;0,N8*100/L8,0)</f>
        <v>59.764748587386499</v>
      </c>
      <c r="P8" s="22">
        <f t="shared" ref="P8:P16" ca="1" si="2">IF(M8&gt;0,N8*100/M8,0)</f>
        <v>121.85246902642805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5983590</v>
      </c>
      <c r="M10" s="30">
        <f t="shared" ca="1" si="4"/>
        <v>2934760</v>
      </c>
      <c r="N10" s="30">
        <f t="shared" ca="1" si="4"/>
        <v>3576077.52</v>
      </c>
      <c r="O10" s="29">
        <f t="shared" ca="1" si="1"/>
        <v>59.764748587386499</v>
      </c>
      <c r="P10" s="29">
        <f t="shared" ca="1" si="2"/>
        <v>121.85246902642805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5744190</v>
      </c>
      <c r="M12" s="38">
        <f t="shared" ca="1" si="6"/>
        <v>2695360</v>
      </c>
      <c r="N12" s="38">
        <f t="shared" ca="1" si="6"/>
        <v>3336677.52</v>
      </c>
      <c r="O12" s="38">
        <f t="shared" ca="1" si="1"/>
        <v>58.087868263410506</v>
      </c>
      <c r="P12" s="38">
        <f t="shared" ca="1" si="2"/>
        <v>123.79339012228422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3671390</v>
      </c>
      <c r="M14" s="38">
        <f t="shared" si="8"/>
        <v>0</v>
      </c>
      <c r="N14" s="38">
        <f t="shared" ca="1" si="8"/>
        <v>1085423.5</v>
      </c>
      <c r="O14" s="38">
        <f t="shared" ca="1" si="1"/>
        <v>29.564374800824755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3601320</v>
      </c>
      <c r="M18" s="23">
        <f t="shared" ca="1" si="11"/>
        <v>2934760</v>
      </c>
      <c r="N18" s="23">
        <f t="shared" ca="1" si="11"/>
        <v>2490654.02</v>
      </c>
      <c r="O18" s="22">
        <f t="shared" ref="O18:O20" ca="1" si="12">IF(L18&gt;0,N18*100/L18,0)</f>
        <v>69.15947541457021</v>
      </c>
      <c r="P18" s="22">
        <f t="shared" ref="P18:P26" ca="1" si="13">IF(M18&gt;0,N18*100/M18,0)</f>
        <v>84.867383363545912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3601320</v>
      </c>
      <c r="M20" s="30">
        <f t="shared" ca="1" si="15"/>
        <v>2934760</v>
      </c>
      <c r="N20" s="30">
        <f t="shared" ca="1" si="15"/>
        <v>2490654.02</v>
      </c>
      <c r="O20" s="29">
        <f t="shared" ca="1" si="12"/>
        <v>69.15947541457021</v>
      </c>
      <c r="P20" s="29">
        <f t="shared" ca="1" si="13"/>
        <v>84.867383363545912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3361920</v>
      </c>
      <c r="M22" s="41">
        <f t="shared" ca="1" si="18"/>
        <v>2695360</v>
      </c>
      <c r="N22" s="38">
        <f t="shared" ca="1" si="18"/>
        <v>2251254.02</v>
      </c>
      <c r="O22" s="38">
        <f t="shared" ca="1" si="17"/>
        <v>66.963342970683414</v>
      </c>
      <c r="P22" s="38">
        <f t="shared" ca="1" si="13"/>
        <v>83.523314881871073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1289120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2382270</v>
      </c>
      <c r="M28" s="23">
        <f t="shared" si="23"/>
        <v>0</v>
      </c>
      <c r="N28" s="23">
        <f t="shared" ca="1" si="23"/>
        <v>1085423.5</v>
      </c>
      <c r="O28" s="22">
        <f t="shared" ref="O28:O30" ca="1" si="24">IF(L28&gt;0,N28*100/L28,0)</f>
        <v>45.56257267228316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2382270</v>
      </c>
      <c r="M30" s="30">
        <f t="shared" si="27"/>
        <v>0</v>
      </c>
      <c r="N30" s="30">
        <f t="shared" ca="1" si="27"/>
        <v>1085423.5</v>
      </c>
      <c r="O30" s="29">
        <f t="shared" ca="1" si="24"/>
        <v>45.56257267228316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2382270</v>
      </c>
      <c r="M32" s="38">
        <f t="shared" si="30"/>
        <v>0</v>
      </c>
      <c r="N32" s="38">
        <f t="shared" ca="1" si="30"/>
        <v>1085423.5</v>
      </c>
      <c r="O32" s="38">
        <f t="shared" ca="1" si="29"/>
        <v>45.56257267228316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2382270</v>
      </c>
      <c r="M34" s="38">
        <f t="shared" si="32"/>
        <v>0</v>
      </c>
      <c r="N34" s="38">
        <f t="shared" ca="1" si="32"/>
        <v>1085423.5</v>
      </c>
      <c r="O34" s="38">
        <f t="shared" ca="1" si="29"/>
        <v>45.56257267228316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3601320</v>
      </c>
      <c r="M37" s="54">
        <f t="shared" ca="1" si="33"/>
        <v>2934760</v>
      </c>
      <c r="N37" s="54">
        <f t="shared" ca="1" si="33"/>
        <v>2490654.02</v>
      </c>
      <c r="O37" s="55">
        <f t="shared" ca="1" si="29"/>
        <v>69.15947541457021</v>
      </c>
      <c r="P37" s="55">
        <f t="shared" ca="1" si="25"/>
        <v>84.867383363545912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633100</v>
      </c>
      <c r="N41" s="78">
        <f t="shared" ca="1" si="34"/>
        <v>557780.02</v>
      </c>
      <c r="O41" s="77">
        <f t="shared" ref="O41:O43" ca="1" si="35">IF(L41&gt;0,N41*100/L41,0)</f>
        <v>66.079850728586663</v>
      </c>
      <c r="P41" s="77">
        <f t="shared" ref="P41:P43" ca="1" si="36">IF(M41&gt;0,N41*100/M41,0)</f>
        <v>88.102988469436113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633100</v>
      </c>
      <c r="N43" s="78">
        <f t="shared" ca="1" si="38"/>
        <v>557780.02</v>
      </c>
      <c r="O43" s="77">
        <f t="shared" ca="1" si="35"/>
        <v>66.079850728586663</v>
      </c>
      <c r="P43" s="77">
        <f t="shared" ca="1" si="36"/>
        <v>88.102988469436113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2">
        <f ca="1">IFERROR(__xludf.DUMMYFUNCTION("IMPORTRANGE(""https://docs.google.com/spreadsheets/d/1Yj_ptqi66GCucihVvJfMjLAmec39IyEx_6qawtMGysU/edit?usp=sharing"",""สบก!Q47"")"),633100)</f>
        <v>633100</v>
      </c>
      <c r="N45" s="622">
        <f ca="1">IFERROR(__xludf.DUMMYFUNCTION("IMPORTRANGE(""https://docs.google.com/spreadsheets/d/1Yj_ptqi66GCucihVvJfMjLAmec39IyEx_6qawtMGysU/edit?usp=sharing"",""สบก!R47"")"),557780.02)</f>
        <v>557780.02</v>
      </c>
      <c r="O45" s="623">
        <f ca="1">IF(L45&gt;0,N45*100/L45,0)</f>
        <v>66.079850728586663</v>
      </c>
      <c r="P45" s="623">
        <f ca="1">IF(M45&gt;0,N45*100/M45,0)</f>
        <v>88.102988469436113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IFERROR(__xludf.DUMMYFUNCTION("IMPORTRANGE(""https://docs.google.com/spreadsheets/d/1Yj_ptqi66GCucihVvJfMjLAmec39IyEx_6qawtMGysU/edit?usp=sharing"",""สบก!M47"")"),844100)</f>
        <v>844100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IFERROR(__xludf.DUMMYFUNCTION("IMPORTRANGE(""https://docs.google.com/spreadsheets/d/1Yj_ptqi66GCucihVvJfMjLAmec39IyEx_6qawtMGysU/edit?usp=sharing"",""สบก!N47"")"),0)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IFERROR(__xludf.DUMMYFUNCTION("IMPORTRANGE(""https://docs.google.com/spreadsheets/d/1Yj_ptqi66GCucihVvJfMjLAmec39IyEx_6qawtMGysU/edit?usp=sharing"",""สบก!O47"")"),0)</f>
        <v>0</v>
      </c>
      <c r="M49" s="625"/>
      <c r="N49" s="622">
        <f ca="1">IFERROR(__xludf.DUMMYFUNCTION("IMPORTRANGE(""https://docs.google.com/spreadsheets/d/1Yj_ptqi66GCucihVvJfMjLAmec39IyEx_6qawtMGysU/edit?usp=sharing"",""สบก!S47"")"),0)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486720</v>
      </c>
      <c r="N53" s="121">
        <f t="shared" ca="1" si="39"/>
        <v>450118</v>
      </c>
      <c r="O53" s="120">
        <f t="shared" ref="O53:O55" ca="1" si="40">IF(L53&gt;0,N53*100/L53,0)</f>
        <v>71.447301587301581</v>
      </c>
      <c r="P53" s="120">
        <f t="shared" ref="P53:P55" ca="1" si="41">IF(M53&gt;0,N53*100/M53,0)</f>
        <v>92.479865220249835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486720</v>
      </c>
      <c r="N55" s="121">
        <f t="shared" ca="1" si="43"/>
        <v>450118</v>
      </c>
      <c r="O55" s="120">
        <f t="shared" ca="1" si="40"/>
        <v>71.447301587301581</v>
      </c>
      <c r="P55" s="120">
        <f t="shared" ca="1" si="41"/>
        <v>92.479865220249835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IFERROR(__xludf.DUMMYFUNCTION("IMPORTRANGE(""https://docs.google.com/spreadsheets/d/1Yj_ptqi66GCucihVvJfMjLAmec39IyEx_6qawtMGysU/edit?usp=sharing"",""สบก!Z47"")"),486720)</f>
        <v>486720</v>
      </c>
      <c r="N57" s="622">
        <f ca="1">IFERROR(__xludf.DUMMYFUNCTION("IMPORTRANGE(""https://docs.google.com/spreadsheets/d/1Yj_ptqi66GCucihVvJfMjLAmec39IyEx_6qawtMGysU/edit?usp=sharing"",""สบก!AA47"")"),450118)</f>
        <v>450118</v>
      </c>
      <c r="O57" s="623">
        <f ca="1">IF(L57&gt;0,N57*100/L57,0)</f>
        <v>71.447301587301581</v>
      </c>
      <c r="P57" s="623">
        <f ca="1">IF(M57&gt;0,N57*100/M57,0)</f>
        <v>92.479865220249835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IFERROR(__xludf.DUMMYFUNCTION("IMPORTRANGE(""https://docs.google.com/spreadsheets/d/1Yj_ptqi66GCucihVvJfMjLAmec39IyEx_6qawtMGysU/edit?usp=sharing"",""สบก!V47"")"),630000)</f>
        <v>630000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IFERROR(__xludf.DUMMYFUNCTION("IMPORTRANGE(""https://docs.google.com/spreadsheets/d/1Yj_ptqi66GCucihVvJfMjLAmec39IyEx_6qawtMGysU/edit?usp=sharing"",""สบก!W47"")"),0)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IFERROR(__xludf.DUMMYFUNCTION("IMPORTRANGE(""https://docs.google.com/spreadsheets/d/1Yj_ptqi66GCucihVvJfMjLAmec39IyEx_6qawtMGysU/edit?usp=sharing"",""สบก!X47"")"),0)</f>
        <v>0</v>
      </c>
      <c r="M61" s="625"/>
      <c r="N61" s="622">
        <f ca="1">IFERROR(__xludf.DUMMYFUNCTION("IMPORTRANGE(""https://docs.google.com/spreadsheets/d/1Yj_ptqi66GCucihVvJfMjLAmec39IyEx_6qawtMGysU/edit?usp=sharing"",""สบก!AB47"")"),0)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602720</v>
      </c>
      <c r="N66" s="152">
        <f t="shared" ca="1" si="45"/>
        <v>455502</v>
      </c>
      <c r="O66" s="151">
        <f t="shared" ref="O66:O68" ca="1" si="46">IF(L66&gt;0,N66*100/L66,0)</f>
        <v>61.100201207243458</v>
      </c>
      <c r="P66" s="151">
        <f t="shared" ref="P66:P68" ca="1" si="47">IF(M66&gt;0,N66*100/M66,0)</f>
        <v>75.57439607114415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602720</v>
      </c>
      <c r="N68" s="157">
        <f t="shared" ca="1" si="49"/>
        <v>455502</v>
      </c>
      <c r="O68" s="156">
        <f t="shared" ca="1" si="46"/>
        <v>61.100201207243458</v>
      </c>
      <c r="P68" s="156">
        <f t="shared" ca="1" si="47"/>
        <v>75.57439607114415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745500</v>
      </c>
      <c r="M70" s="626">
        <f ca="1">IFERROR(__xludf.DUMMYFUNCTION("IMPORTRANGE(""https://docs.google.com/spreadsheets/d/1Yj_ptqi66GCucihVvJfMjLAmec39IyEx_6qawtMGysU/edit?usp=sharing"",""สบก!AI47"")"),602720)</f>
        <v>602720</v>
      </c>
      <c r="N70" s="627">
        <f ca="1">IFERROR(__xludf.DUMMYFUNCTION("IMPORTRANGE(""https://docs.google.com/spreadsheets/d/1Yj_ptqi66GCucihVvJfMjLAmec39IyEx_6qawtMGysU/edit?usp=sharing"",""สบก!AJ47"")"),455502)</f>
        <v>455502</v>
      </c>
      <c r="O70" s="169">
        <f ca="1">IF(L70&gt;0,N70*100/L70,0)</f>
        <v>61.100201207243458</v>
      </c>
      <c r="P70" s="169">
        <f ca="1">IF(M70&gt;0,N70*100/M70,0)</f>
        <v>75.57439607114415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IFERROR(__xludf.DUMMYFUNCTION("IMPORTRANGE(""https://docs.google.com/spreadsheets/d/1Yj_ptqi66GCucihVvJfMjLAmec39IyEx_6qawtMGysU/edit?usp=sharing"",""สบก!AF47"")"),424000)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IFERROR(__xludf.DUMMYFUNCTION("IMPORTRANGE(""https://docs.google.com/spreadsheets/d/1Yj_ptqi66GCucihVvJfMjLAmec39IyEx_6qawtMGysU/edit?usp=sharing"",""สบก!AG47"")"),0)</f>
        <v>0</v>
      </c>
      <c r="M74" s="625"/>
      <c r="N74" s="622">
        <f ca="1">IFERROR(__xludf.DUMMYFUNCTION("IMPORTRANGE(""https://docs.google.com/spreadsheets/d/1Yj_ptqi66GCucihVvJfMjLAmec39IyEx_6qawtMGysU/edit?usp=sharing"",""สบก!AK47"")"),0)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154300</v>
      </c>
      <c r="O94" s="151">
        <f t="shared" ref="O94:O96" ca="1" si="53">IF(L94&gt;0,N94*100/L94,0)</f>
        <v>71.934731934731929</v>
      </c>
      <c r="P94" s="151">
        <f t="shared" ref="P94:P96" ca="1" si="54">IF(M94&gt;0,N94*100/M94,0)</f>
        <v>79.349978144043604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154300</v>
      </c>
      <c r="O96" s="156">
        <f t="shared" ca="1" si="53"/>
        <v>71.934731934731929</v>
      </c>
      <c r="P96" s="156">
        <f t="shared" ca="1" si="54"/>
        <v>79.349978144043604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IFERROR(__xludf.DUMMYFUNCTION("IMPORTRANGE(""https://docs.google.com/spreadsheets/d/1Yj_ptqi66GCucihVvJfMjLAmec39IyEx_6qawtMGysU/edit?usp=sharing"",""สบก!AR47"")"),102055)</f>
        <v>102055</v>
      </c>
      <c r="N98" s="627">
        <f ca="1">IFERROR(__xludf.DUMMYFUNCTION("IMPORTRANGE(""https://docs.google.com/spreadsheets/d/1Yj_ptqi66GCucihVvJfMjLAmec39IyEx_6qawtMGysU/edit?usp=sharing"",""สบก!AS47"")"),61900)</f>
        <v>61900</v>
      </c>
      <c r="O98" s="169">
        <f ca="1">IF(L98&gt;0,N98*100/L98,0)</f>
        <v>50.696150696150696</v>
      </c>
      <c r="P98" s="169">
        <f ca="1">IF(M98&gt;0,N98*100/M98,0)</f>
        <v>60.653569153887609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IFERROR(__xludf.DUMMYFUNCTION("IMPORTRANGE(""https://docs.google.com/spreadsheets/d/1Yj_ptqi66GCucihVvJfMjLAmec39IyEx_6qawtMGysU/edit?usp=sharing"",""สบก!AP47"")"),92400)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IFERROR(__xludf.DUMMYFUNCTION("IMPORTRANGE(""https://docs.google.com/spreadsheets/d/1Yj_ptqi66GCucihVvJfMjLAmec39IyEx_6qawtMGysU/edit?usp=sharing"",""สบก!AT47"")"),92400)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50284</v>
      </c>
      <c r="O118" s="151">
        <f t="shared" ref="O118:O120" ca="1" si="59">IF(L118&gt;0,N118*100/L118,0)</f>
        <v>60.994662785055802</v>
      </c>
      <c r="P118" s="151">
        <f t="shared" ref="P118:P120" ca="1" si="60">IF(M118&gt;0,N118*100/M118,0)</f>
        <v>60.994662785055802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50284</v>
      </c>
      <c r="O120" s="156">
        <f t="shared" ca="1" si="59"/>
        <v>60.994662785055802</v>
      </c>
      <c r="P120" s="156">
        <f t="shared" ca="1" si="60"/>
        <v>60.994662785055802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IFERROR(__xludf.DUMMYFUNCTION("IMPORTRANGE(""https://docs.google.com/spreadsheets/d/1Yj_ptqi66GCucihVvJfMjLAmec39IyEx_6qawtMGysU/edit?usp=sharing"",""สบก!BA47"")"),82440)</f>
        <v>82440</v>
      </c>
      <c r="N122" s="627">
        <f ca="1">IFERROR(__xludf.DUMMYFUNCTION("IMPORTRANGE(""https://docs.google.com/spreadsheets/d/1Yj_ptqi66GCucihVvJfMjLAmec39IyEx_6qawtMGysU/edit?usp=sharing"",""สบก!BB47"")"),50284)</f>
        <v>50284</v>
      </c>
      <c r="O122" s="169">
        <f ca="1">IF(L122&gt;0,N122*100/L122,0)</f>
        <v>60.994662785055802</v>
      </c>
      <c r="P122" s="169">
        <f ca="1">IF(M122&gt;0,N122*100/M122,0)</f>
        <v>60.994662785055802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IFERROR(__xludf.DUMMYFUNCTION("IMPORTRANGE(""https://docs.google.com/spreadsheets/d/1Yj_ptqi66GCucihVvJfMjLAmec39IyEx_6qawtMGysU/edit?usp=sharing"",""สบก!AY47"")"),0)</f>
        <v>0</v>
      </c>
      <c r="M126" s="625"/>
      <c r="N126" s="622">
        <f ca="1">IFERROR(__xludf.DUMMYFUNCTION("IMPORTRANGE(""https://docs.google.com/spreadsheets/d/1Yj_ptqi66GCucihVvJfMjLAmec39IyEx_6qawtMGysU/edit?usp=sharing"",""สบก!BC47"")"),0)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61460</v>
      </c>
      <c r="O140" s="151">
        <f t="shared" ref="O140:O142" ca="1" si="65">IF(L140&gt;0,N140*100/L140,0)</f>
        <v>77.797468354430379</v>
      </c>
      <c r="P140" s="151">
        <f t="shared" ref="P140:P142" ca="1" si="66">IF(M140&gt;0,N140*100/M140,0)</f>
        <v>87.023008849557527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61460</v>
      </c>
      <c r="O142" s="156">
        <f t="shared" ca="1" si="65"/>
        <v>77.797468354430379</v>
      </c>
      <c r="P142" s="156">
        <f t="shared" ca="1" si="66"/>
        <v>87.023008849557527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IFERROR(__xludf.DUMMYFUNCTION("IMPORTRANGE(""https://docs.google.com/spreadsheets/d/1Yj_ptqi66GCucihVvJfMjLAmec39IyEx_6qawtMGysU/edit?usp=sharing"",""สบก!BJ47"")"),70625)</f>
        <v>70625</v>
      </c>
      <c r="N144" s="627">
        <f ca="1">IFERROR(__xludf.DUMMYFUNCTION("IMPORTRANGE(""https://docs.google.com/spreadsheets/d/1Yj_ptqi66GCucihVvJfMjLAmec39IyEx_6qawtMGysU/edit?usp=sharing"",""สบก!BK47"")"),61460)</f>
        <v>61460</v>
      </c>
      <c r="O144" s="169">
        <f ca="1">IF(L144&gt;0,N144*100/L144,0)</f>
        <v>77.797468354430379</v>
      </c>
      <c r="P144" s="169">
        <f ca="1">IF(M144&gt;0,N144*100/M144,0)</f>
        <v>87.023008849557527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IFERROR(__xludf.DUMMYFUNCTION("IMPORTRANGE(""https://docs.google.com/spreadsheets/d/1Yj_ptqi66GCucihVvJfMjLAmec39IyEx_6qawtMGysU/edit?usp=sharing"",""สบก!BG47"")"),79000)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IFERROR(__xludf.DUMMYFUNCTION("IMPORTRANGE(""https://docs.google.com/spreadsheets/d/1Yj_ptqi66GCucihVvJfMjLAmec39IyEx_6qawtMGysU/edit?usp=sharing"",""สบก!BH47"")"),0)</f>
        <v>0</v>
      </c>
      <c r="M148" s="625"/>
      <c r="N148" s="622">
        <f ca="1">IFERROR(__xludf.DUMMYFUNCTION("IMPORTRANGE(""https://docs.google.com/spreadsheets/d/1Yj_ptqi66GCucihVvJfMjLAmec39IyEx_6qawtMGysU/edit?usp=sharing"",""สบก!BL47"")"),0)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IFERROR(__xludf.DUMMYFUNCTION("IMPORTRANGE(""https://docs.google.com/spreadsheets/d/1XL5vhW3sbDhbH9Cz0tuDiY8C3ctxq1tqvaCgkFb8cCA/edit?usp=sharing"",""ยโสธร!J84"")"),75)</f>
        <v>75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IFERROR(__xludf.DUMMYFUNCTION("IMPORTRANGE(""https://docs.google.com/spreadsheets/d/1XL5vhW3sbDhbH9Cz0tuDiY8C3ctxq1tqvaCgkFb8cCA/edit?usp=sharing"",""ยโสธร!J85"")"),75)</f>
        <v>75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IFERROR(__xludf.DUMMYFUNCTION("IMPORTRANGE(""https://docs.google.com/spreadsheets/d/1Yj_ptqi66GCucihVvJfMjLAmec39IyEx_6qawtMGysU/edit?usp=sharing"",""สบก!BS47"")"),20210)</f>
        <v>20210</v>
      </c>
      <c r="N224" s="627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IFERROR(__xludf.DUMMYFUNCTION("IMPORTRANGE(""https://docs.google.com/spreadsheets/d/1Yj_ptqi66GCucihVvJfMjLAmec39IyEx_6qawtMGysU/edit?usp=sharing"",""สบก!BQ47"")"),0)</f>
        <v>0</v>
      </c>
      <c r="M228" s="625"/>
      <c r="N228" s="622">
        <f ca="1">IFERROR(__xludf.DUMMYFUNCTION("IMPORTRANGE(""https://docs.google.com/spreadsheets/d/1Yj_ptqi66GCucihVvJfMjLAmec39IyEx_6qawtMGysU/edit?usp=sharing"",""สบก!BU47"")"),0)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IFERROR(__xludf.DUMMYFUNCTION("IMPORTRANGE(""https://docs.google.com/spreadsheets/d/1Yj_ptqi66GCucihVvJfMjLAmec39IyEx_6qawtMGysU/edit?usp=sharing"",""สบก!CB47"")"),0)</f>
        <v>0</v>
      </c>
      <c r="N254" s="627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IFERROR(__xludf.DUMMYFUNCTION("IMPORTRANGE(""https://docs.google.com/spreadsheets/d/1Yj_ptqi66GCucihVvJfMjLAmec39IyEx_6qawtMGysU/edit?usp=sharing"",""สบก!BZ47"")"),0)</f>
        <v>0</v>
      </c>
      <c r="M258" s="625"/>
      <c r="N258" s="622">
        <f ca="1">IFERROR(__xludf.DUMMYFUNCTION("IMPORTRANGE(""https://docs.google.com/spreadsheets/d/1Yj_ptqi66GCucihVvJfMjLAmec39IyEx_6qawtMGysU/edit?usp=sharing"",""สบก!CD47"")"),0)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IFERROR(__xludf.DUMMYFUNCTION("IMPORTRANGE(""https://docs.google.com/spreadsheets/d/1Yj_ptqi66GCucihVvJfMjLAmec39IyEx_6qawtMGysU/edit?usp=sharing"",""สบก!CK47"")"),32250)</f>
        <v>32250</v>
      </c>
      <c r="N275" s="627">
        <f ca="1">IFERROR(__xludf.DUMMYFUNCTION("IMPORTRANGE(""https://docs.google.com/spreadsheets/d/1Yj_ptqi66GCucihVvJfMjLAmec39IyEx_6qawtMGysU/edit?usp=sharing"",""สบก!CL47"")"),31060)</f>
        <v>31060</v>
      </c>
      <c r="O275" s="169">
        <f ca="1">IF(L275&gt;0,N275*100/L275,0)</f>
        <v>56.268115942028984</v>
      </c>
      <c r="P275" s="169">
        <f ca="1">IF(M275&gt;0,N275*100/M275,0)</f>
        <v>96.310077519379846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IFERROR(__xludf.DUMMYFUNCTION("IMPORTRANGE(""https://docs.google.com/spreadsheets/d/1Yj_ptqi66GCucihVvJfMjLAmec39IyEx_6qawtMGysU/edit?usp=sharing"",""สบก!CI47"")"),0)</f>
        <v>0</v>
      </c>
      <c r="M279" s="625"/>
      <c r="N279" s="622">
        <f ca="1">IFERROR(__xludf.DUMMYFUNCTION("IMPORTRANGE(""https://docs.google.com/spreadsheets/d/1Yj_ptqi66GCucihVvJfMjLAmec39IyEx_6qawtMGysU/edit?usp=sharing"",""สบก!CM47"")"),0)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IFERROR(__xludf.DUMMYFUNCTION("IMPORTRANGE(""https://docs.google.com/spreadsheets/d/1Yj_ptqi66GCucihVvJfMjLAmec39IyEx_6qawtMGysU/edit?usp=sharing"",""สบก!CT47"")"),0)</f>
        <v>0</v>
      </c>
      <c r="N294" s="627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IFERROR(__xludf.DUMMYFUNCTION("IMPORTRANGE(""https://docs.google.com/spreadsheets/d/1Yj_ptqi66GCucihVvJfMjLAmec39IyEx_6qawtMGysU/edit?usp=sharing"",""สบก!CR47"")"),0)</f>
        <v>0</v>
      </c>
      <c r="M298" s="625"/>
      <c r="N298" s="622">
        <f ca="1">IFERROR(__xludf.DUMMYFUNCTION("IMPORTRANGE(""https://docs.google.com/spreadsheets/d/1Yj_ptqi66GCucihVvJfMjLAmec39IyEx_6qawtMGysU/edit?usp=sharing"",""สบก!CV47"")"),0)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IFERROR(__xludf.DUMMYFUNCTION("IMPORTRANGE(""https://docs.google.com/spreadsheets/d/1Yj_ptqi66GCucihVvJfMjLAmec39IyEx_6qawtMGysU/edit?usp=sharing"",""สบก!DC47"")"),0)</f>
        <v>0</v>
      </c>
      <c r="N314" s="627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IFERROR(__xludf.DUMMYFUNCTION("IMPORTRANGE(""https://docs.google.com/spreadsheets/d/1Yj_ptqi66GCucihVvJfMjLAmec39IyEx_6qawtMGysU/edit?usp=sharing"",""สบก!DA47"")"),0)</f>
        <v>0</v>
      </c>
      <c r="M318" s="625"/>
      <c r="N318" s="622">
        <f ca="1">IFERROR(__xludf.DUMMYFUNCTION("IMPORTRANGE(""https://docs.google.com/spreadsheets/d/1Yj_ptqi66GCucihVvJfMjLAmec39IyEx_6qawtMGysU/edit?usp=sharing"",""สบก!DE47"")"),0)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IFERROR(__xludf.DUMMYFUNCTION("IMPORTRANGE(""https://docs.google.com/spreadsheets/d/1XL5vhW3sbDhbH9Cz0tuDiY8C3ctxq1tqvaCgkFb8cCA/edit?usp=sharing"",""ยโสธร!J228"")"),513)</f>
        <v>513</v>
      </c>
      <c r="K328" s="318">
        <f ca="1">IF(I328&gt;0,J328*100/I328,0)</f>
        <v>96.79245283018868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812240</v>
      </c>
      <c r="N329" s="152">
        <f t="shared" ca="1" si="98"/>
        <v>709940</v>
      </c>
      <c r="O329" s="151">
        <f t="shared" ref="O329:O331" ca="1" si="99">IF(L329&gt;0,N329*100/L329,0)</f>
        <v>76.307275600030096</v>
      </c>
      <c r="P329" s="151">
        <f t="shared" ref="P329:P331" ca="1" si="100">IF(M329&gt;0,N329*100/M329,0)</f>
        <v>87.405200433369444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812240</v>
      </c>
      <c r="N331" s="157">
        <f t="shared" ca="1" si="102"/>
        <v>709940</v>
      </c>
      <c r="O331" s="156">
        <f t="shared" ca="1" si="99"/>
        <v>76.307275600030096</v>
      </c>
      <c r="P331" s="156">
        <f t="shared" ca="1" si="100"/>
        <v>87.405200433369444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6">
        <f ca="1">IFERROR(__xludf.DUMMYFUNCTION("IMPORTRANGE(""https://docs.google.com/spreadsheets/d/1Yj_ptqi66GCucihVvJfMjLAmec39IyEx_6qawtMGysU/edit?usp=sharing"",""สบก!DL47"")"),665240)</f>
        <v>665240</v>
      </c>
      <c r="N333" s="627">
        <f ca="1">IFERROR(__xludf.DUMMYFUNCTION("IMPORTRANGE(""https://docs.google.com/spreadsheets/d/1Yj_ptqi66GCucihVvJfMjLAmec39IyEx_6qawtMGysU/edit?usp=sharing"",""สบก!DM47"")"),562940)</f>
        <v>562940</v>
      </c>
      <c r="O333" s="169">
        <f ca="1">IF(L333&gt;0,N333*100/L333,0)</f>
        <v>71.861317129836479</v>
      </c>
      <c r="P333" s="169">
        <f ca="1">IF(M333&gt;0,N333*100/M333,0)</f>
        <v>84.622091275329211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IFERROR(__xludf.DUMMYFUNCTION("IMPORTRANGE(""https://docs.google.com/spreadsheets/d/1Yj_ptqi66GCucihVvJfMjLAmec39IyEx_6qawtMGysU/edit?usp=sharing"",""สบก!DJ47"")"),147000)</f>
        <v>147000</v>
      </c>
      <c r="M337" s="625">
        <f ca="1">L337</f>
        <v>147000</v>
      </c>
      <c r="N337" s="622">
        <f ca="1">IFERROR(__xludf.DUMMYFUNCTION("IMPORTRANGE(""https://docs.google.com/spreadsheets/d/1Yj_ptqi66GCucihVvJfMjLAmec39IyEx_6qawtMGysU/edit?usp=sharing"",""สบก!DN47"")"),147000)</f>
        <v>147000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IFERROR(__xludf.DUMMYFUNCTION("IMPORTRANGE(""https://docs.google.com/spreadsheets/d/1XL5vhW3sbDhbH9Cz0tuDiY8C3ctxq1tqvaCgkFb8cCA/edit?usp=sharing"",""ยโสธร!J234"")"),273)</f>
        <v>273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IFERROR(__xludf.DUMMYFUNCTION("IMPORTRANGE(""https://docs.google.com/spreadsheets/d/1XL5vhW3sbDhbH9Cz0tuDiY8C3ctxq1tqvaCgkFb8cCA/edit?usp=sharing"",""ยโสธร!J235"")"),2068.64)</f>
        <v>2068.64</v>
      </c>
      <c r="K340" s="343">
        <f t="shared" ca="1" si="103"/>
        <v>71.332413793103441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IFERROR(__xludf.DUMMYFUNCTION("IMPORTRANGE(""https://docs.google.com/spreadsheets/d/1XL5vhW3sbDhbH9Cz0tuDiY8C3ctxq1tqvaCgkFb8cCA/edit?usp=sharing"",""ยโสธร!J236"")"),574)</f>
        <v>574</v>
      </c>
      <c r="K341" s="343">
        <f t="shared" ca="1" si="103"/>
        <v>108.30188679245283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IFERROR(__xludf.DUMMYFUNCTION("IMPORTRANGE(""https://docs.google.com/spreadsheets/d/1XL5vhW3sbDhbH9Cz0tuDiY8C3ctxq1tqvaCgkFb8cCA/edit?usp=sharing"",""ยโสธร!J237"")"),5644.41)</f>
        <v>5644.41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IFERROR(__xludf.DUMMYFUNCTION("IMPORTRANGE(""https://docs.google.com/spreadsheets/d/1XL5vhW3sbDhbH9Cz0tuDiY8C3ctxq1tqvaCgkFb8cCA/edit?usp=sharing"",""ยโสธร!J238"")"),4)</f>
        <v>4</v>
      </c>
      <c r="K343" s="343">
        <f t="shared" ca="1" si="103"/>
        <v>0.75471698113207553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IFERROR(__xludf.DUMMYFUNCTION("IMPORTRANGE(""https://docs.google.com/spreadsheets/d/1XL5vhW3sbDhbH9Cz0tuDiY8C3ctxq1tqvaCgkFb8cCA/edit?usp=sharing"",""ยโสธร!J239"")"),17.67)</f>
        <v>17.670000000000002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IFERROR(__xludf.DUMMYFUNCTION("IMPORTRANGE(""https://docs.google.com/spreadsheets/d/1XL5vhW3sbDhbH9Cz0tuDiY8C3ctxq1tqvaCgkFb8cCA/edit?usp=sharing"",""ยโสธร!J240"")"),513)</f>
        <v>513</v>
      </c>
      <c r="K345" s="343">
        <f t="shared" ca="1" si="103"/>
        <v>96.79245283018868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IFERROR(__xludf.DUMMYFUNCTION("IMPORTRANGE(""https://docs.google.com/spreadsheets/d/1XL5vhW3sbDhbH9Cz0tuDiY8C3ctxq1tqvaCgkFb8cCA/edit?usp=sharing"",""ยโสธร!J241"")"),5132.73)</f>
        <v>5132.7299999999996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IFERROR(__xludf.DUMMYFUNCTION("IMPORTRANGE(""https://docs.google.com/spreadsheets/d/1XL5vhW3sbDhbH9Cz0tuDiY8C3ctxq1tqvaCgkFb8cCA/edit?usp=sharing"",""ยโสธร!L242"")"),2382270)</f>
        <v>2382270</v>
      </c>
      <c r="M347" s="358"/>
      <c r="N347" s="358">
        <f ca="1">IFERROR(__xludf.DUMMYFUNCTION("IMPORTRANGE(""https://docs.google.com/spreadsheets/d/1XL5vhW3sbDhbH9Cz0tuDiY8C3ctxq1tqvaCgkFb8cCA/edit?usp=sharing"",""ยโสธร!M242"")"),1085423.5)</f>
        <v>1085423.5</v>
      </c>
      <c r="O347" s="358">
        <f ca="1">+IF(L347&gt;0,N347*100/L347,0)</f>
        <v>45.56257267228316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IFERROR(__xludf.DUMMYFUNCTION("IMPORTRANGE(""https://docs.google.com/spreadsheets/d/1XL5vhW3sbDhbH9Cz0tuDiY8C3ctxq1tqvaCgkFb8cCA/edit?usp=sharing"",""ยโสธร!M244"")"),478107.5)</f>
        <v>478107.5</v>
      </c>
      <c r="O349" s="373">
        <f ca="1">+IF(L349&gt;0,N349*100/L349,0)</f>
        <v>71.5836951639467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IFERROR(__xludf.DUMMYFUNCTION("IMPORTRANGE(""https://docs.google.com/spreadsheets/d/1XL5vhW3sbDhbH9Cz0tuDiY8C3ctxq1tqvaCgkFb8cCA/edit?usp=sharing"",""ยโสธร!M247"")"),478107.5)</f>
        <v>478107.5</v>
      </c>
      <c r="O352" s="165">
        <f t="shared" ca="1" si="105"/>
        <v>71.5836951639467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IFERROR(__xludf.DUMMYFUNCTION("IMPORTRANGE(""https://docs.google.com/spreadsheets/d/1XL5vhW3sbDhbH9Cz0tuDiY8C3ctxq1tqvaCgkFb8cCA/edit?usp=sharing"",""ยโสธร!M249"")"),478107.5)</f>
        <v>478107.5</v>
      </c>
      <c r="O354" s="169">
        <f t="shared" ca="1" si="105"/>
        <v>71.5836951639467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IFERROR(__xludf.DUMMYFUNCTION("IMPORTRANGE(""https://docs.google.com/spreadsheets/d/1XL5vhW3sbDhbH9Cz0tuDiY8C3ctxq1tqvaCgkFb8cCA/edit?usp=sharing"",""ยโสธร!M250"")"),89200)</f>
        <v>89200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IFERROR(__xludf.DUMMYFUNCTION("IMPORTRANGE(""https://docs.google.com/spreadsheets/d/1XL5vhW3sbDhbH9Cz0tuDiY8C3ctxq1tqvaCgkFb8cCA/edit?usp=sharing"",""ยโสธร!M252"")"),55000)</f>
        <v>55000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IFERROR(__xludf.DUMMYFUNCTION("IMPORTRANGE(""https://docs.google.com/spreadsheets/d/1XL5vhW3sbDhbH9Cz0tuDiY8C3ctxq1tqvaCgkFb8cCA/edit?usp=sharing"",""ยโสธร!M253"")"),33470)</f>
        <v>33470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IFERROR(__xludf.DUMMYFUNCTION("IMPORTRANGE(""https://docs.google.com/spreadsheets/d/1XL5vhW3sbDhbH9Cz0tuDiY8C3ctxq1tqvaCgkFb8cCA/edit?usp=sharing"",""ยโสธร!M275"")"),81700)</f>
        <v>81700</v>
      </c>
      <c r="O380" s="373">
        <f ca="1">+IF(L380&gt;0,N380*100/L380,0)</f>
        <v>17.755465727821967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IFERROR(__xludf.DUMMYFUNCTION("IMPORTRANGE(""https://docs.google.com/spreadsheets/d/1XL5vhW3sbDhbH9Cz0tuDiY8C3ctxq1tqvaCgkFb8cCA/edit?usp=sharing"",""ยโสธร!M278"")"),81700)</f>
        <v>81700</v>
      </c>
      <c r="O383" s="165">
        <f t="shared" ca="1" si="109"/>
        <v>17.755465727821967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IFERROR(__xludf.DUMMYFUNCTION("IMPORTRANGE(""https://docs.google.com/spreadsheets/d/1XL5vhW3sbDhbH9Cz0tuDiY8C3ctxq1tqvaCgkFb8cCA/edit?usp=sharing"",""ยโสธร!M280"")"),81700)</f>
        <v>81700</v>
      </c>
      <c r="O385" s="169">
        <f t="shared" ca="1" si="109"/>
        <v>17.755465727821967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IFERROR(__xludf.DUMMYFUNCTION("IMPORTRANGE(""https://docs.google.com/spreadsheets/d/1XL5vhW3sbDhbH9Cz0tuDiY8C3ctxq1tqvaCgkFb8cCA/edit?usp=sharing"",""ยโสธร!M281"")"),63250)</f>
        <v>63250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IFERROR(__xludf.DUMMYFUNCTION("IMPORTRANGE(""https://docs.google.com/spreadsheets/d/1XL5vhW3sbDhbH9Cz0tuDiY8C3ctxq1tqvaCgkFb8cCA/edit?usp=sharing"",""ยโสธร!M284"")"),18450)</f>
        <v>18450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IFERROR(__xludf.DUMMYFUNCTION("IMPORTRANGE(""https://docs.google.com/spreadsheets/d/1XL5vhW3sbDhbH9Cz0tuDiY8C3ctxq1tqvaCgkFb8cCA/edit?usp=sharing"",""ยโสธร!M296"")"),100050)</f>
        <v>100050</v>
      </c>
      <c r="O401" s="373">
        <f ca="1">+IF(L401&gt;0,N401*100/L401,0)</f>
        <v>51.788394844453649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IFERROR(__xludf.DUMMYFUNCTION("IMPORTRANGE(""https://docs.google.com/spreadsheets/d/1XL5vhW3sbDhbH9Cz0tuDiY8C3ctxq1tqvaCgkFb8cCA/edit?usp=sharing"",""ยโสธร!M299"")"),100050)</f>
        <v>100050</v>
      </c>
      <c r="O404" s="169">
        <f t="shared" ca="1" si="112"/>
        <v>51.788394844453649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IFERROR(__xludf.DUMMYFUNCTION("IMPORTRANGE(""https://docs.google.com/spreadsheets/d/1XL5vhW3sbDhbH9Cz0tuDiY8C3ctxq1tqvaCgkFb8cCA/edit?usp=sharing"",""ยโสธร!M301"")"),100050)</f>
        <v>100050</v>
      </c>
      <c r="O406" s="169">
        <f t="shared" ca="1" si="112"/>
        <v>51.788394844453649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IFERROR(__xludf.DUMMYFUNCTION("IMPORTRANGE(""https://docs.google.com/spreadsheets/d/1XL5vhW3sbDhbH9Cz0tuDiY8C3ctxq1tqvaCgkFb8cCA/edit?usp=sharing"",""ยโสธร!M302"")"),81080)</f>
        <v>81080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IFERROR(__xludf.DUMMYFUNCTION("IMPORTRANGE(""https://docs.google.com/spreadsheets/d/1XL5vhW3sbDhbH9Cz0tuDiY8C3ctxq1tqvaCgkFb8cCA/edit?usp=sharing"",""ยโสธร!M305"")"),18970)</f>
        <v>18970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IFERROR(__xludf.DUMMYFUNCTION("IMPORTRANGE(""https://docs.google.com/spreadsheets/d/1XL5vhW3sbDhbH9Cz0tuDiY8C3ctxq1tqvaCgkFb8cCA/edit?usp=sharing"",""ยโสธร!M330"")"),64940)</f>
        <v>64940</v>
      </c>
      <c r="O435" s="412">
        <f t="shared" ref="O435:O439" ca="1" si="114">+IF(L435&gt;0,N435*100/L435,0)</f>
        <v>61.264150943396224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IFERROR(__xludf.DUMMYFUNCTION("IMPORTRANGE(""https://docs.google.com/spreadsheets/d/1XL5vhW3sbDhbH9Cz0tuDiY8C3ctxq1tqvaCgkFb8cCA/edit?usp=sharing"",""ยโสธร!M332"")"),64940)</f>
        <v>64940</v>
      </c>
      <c r="O437" s="169">
        <f t="shared" ca="1" si="114"/>
        <v>61.264150943396224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IFERROR(__xludf.DUMMYFUNCTION("IMPORTRANGE(""https://docs.google.com/spreadsheets/d/1XL5vhW3sbDhbH9Cz0tuDiY8C3ctxq1tqvaCgkFb8cCA/edit?usp=sharing"",""ยโสธร!M334"")"),64940)</f>
        <v>64940</v>
      </c>
      <c r="O439" s="169">
        <f t="shared" ca="1" si="114"/>
        <v>61.264150943396224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IFERROR(__xludf.DUMMYFUNCTION("IMPORTRANGE(""https://docs.google.com/spreadsheets/d/1XL5vhW3sbDhbH9Cz0tuDiY8C3ctxq1tqvaCgkFb8cCA/edit?usp=sharing"",""ยโสธร!M338"")"),10420)</f>
        <v>10420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IFERROR(__xludf.DUMMYFUNCTION("IMPORTRANGE(""https://docs.google.com/spreadsheets/d/1XL5vhW3sbDhbH9Cz0tuDiY8C3ctxq1tqvaCgkFb8cCA/edit?usp=sharing"",""ยโสธร!L350"")"),458660)</f>
        <v>458660</v>
      </c>
      <c r="M455" s="373"/>
      <c r="N455" s="373">
        <f ca="1">IFERROR(__xludf.DUMMYFUNCTION("IMPORTRANGE(""https://docs.google.com/spreadsheets/d/1XL5vhW3sbDhbH9Cz0tuDiY8C3ctxq1tqvaCgkFb8cCA/edit?usp=sharing"",""ยโสธร!M350"")"),126939)</f>
        <v>126939</v>
      </c>
      <c r="O455" s="373">
        <f t="shared" ref="O455:O459" ca="1" si="116">+IF(L455&gt;0,N455*100/L455,0)</f>
        <v>27.676056338028168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IFERROR(__xludf.DUMMYFUNCTION("IMPORTRANGE(""https://docs.google.com/spreadsheets/d/1XL5vhW3sbDhbH9Cz0tuDiY8C3ctxq1tqvaCgkFb8cCA/edit?usp=sharing"",""ยโสธร!L352"")"),458660)</f>
        <v>458660</v>
      </c>
      <c r="M457" s="165"/>
      <c r="N457" s="169">
        <f ca="1">IFERROR(__xludf.DUMMYFUNCTION("IMPORTRANGE(""https://docs.google.com/spreadsheets/d/1XL5vhW3sbDhbH9Cz0tuDiY8C3ctxq1tqvaCgkFb8cCA/edit?usp=sharing"",""ยโสธร!M352"")"),126939)</f>
        <v>126939</v>
      </c>
      <c r="O457" s="169">
        <f t="shared" ca="1" si="116"/>
        <v>27.676056338028168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IFERROR(__xludf.DUMMYFUNCTION("IMPORTRANGE(""https://docs.google.com/spreadsheets/d/1XL5vhW3sbDhbH9Cz0tuDiY8C3ctxq1tqvaCgkFb8cCA/edit?usp=sharing"",""ยโสธร!L354"")"),458660)</f>
        <v>458660</v>
      </c>
      <c r="M459" s="169"/>
      <c r="N459" s="169">
        <f ca="1">IFERROR(__xludf.DUMMYFUNCTION("IMPORTRANGE(""https://docs.google.com/spreadsheets/d/1XL5vhW3sbDhbH9Cz0tuDiY8C3ctxq1tqvaCgkFb8cCA/edit?usp=sharing"",""ยโสธร!M354"")"),126939)</f>
        <v>126939</v>
      </c>
      <c r="O459" s="169">
        <f t="shared" ca="1" si="116"/>
        <v>27.676056338028168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IFERROR(__xludf.DUMMYFUNCTION("IMPORTRANGE(""https://docs.google.com/spreadsheets/d/1XL5vhW3sbDhbH9Cz0tuDiY8C3ctxq1tqvaCgkFb8cCA/edit?usp=sharing"",""ยโสธร!M357"")"),74433)</f>
        <v>74433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IFERROR(__xludf.DUMMYFUNCTION("IMPORTRANGE(""https://docs.google.com/spreadsheets/d/1XL5vhW3sbDhbH9Cz0tuDiY8C3ctxq1tqvaCgkFb8cCA/edit?usp=sharing"",""ยโสธร!M358"")"),52506)</f>
        <v>52506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IFERROR(__xludf.DUMMYFUNCTION("IMPORTRANGE(""https://docs.google.com/spreadsheets/d/1XL5vhW3sbDhbH9Cz0tuDiY8C3ctxq1tqvaCgkFb8cCA/edit?usp=sharing"",""ยโสธร!I420"")"),0)</f>
        <v>0</v>
      </c>
      <c r="J525" s="285">
        <f ca="1">IFERROR(__xludf.DUMMYFUNCTION("IMPORTRANGE(""https://docs.google.com/spreadsheets/d/1XL5vhW3sbDhbH9Cz0tuDiY8C3ctxq1tqvaCgkFb8cCA/edit?usp=sharing"",""ยโสธร!J420"")"),0)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IFERROR(__xludf.DUMMYFUNCTION("IMPORTRANGE(""https://docs.google.com/spreadsheets/d/1XL5vhW3sbDhbH9Cz0tuDiY8C3ctxq1tqvaCgkFb8cCA/edit?usp=sharing"",""ยโสธร!I421"")"),0)</f>
        <v>0</v>
      </c>
      <c r="J526" s="285">
        <f ca="1">IFERROR(__xludf.DUMMYFUNCTION("IMPORTRANGE(""https://docs.google.com/spreadsheets/d/1XL5vhW3sbDhbH9Cz0tuDiY8C3ctxq1tqvaCgkFb8cCA/edit?usp=sharing"",""ยโสธร!J421"")"),0)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IFERROR(__xludf.DUMMYFUNCTION("IMPORTRANGE(""https://docs.google.com/spreadsheets/d/1XL5vhW3sbDhbH9Cz0tuDiY8C3ctxq1tqvaCgkFb8cCA/edit?usp=sharing"",""ยโสธร!M428"")"),20800)</f>
        <v>20800</v>
      </c>
      <c r="O533" s="412">
        <f t="shared" ref="O533:O537" ca="1" si="118">+IF(L533&gt;0,N533*100/L533,0)</f>
        <v>60.570762958648807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IFERROR(__xludf.DUMMYFUNCTION("IMPORTRANGE(""https://docs.google.com/spreadsheets/d/1XL5vhW3sbDhbH9Cz0tuDiY8C3ctxq1tqvaCgkFb8cCA/edit?usp=sharing"",""ยโสธร!M430"")"),20800)</f>
        <v>20800</v>
      </c>
      <c r="O535" s="169">
        <f t="shared" ca="1" si="118"/>
        <v>60.570762958648807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IFERROR(__xludf.DUMMYFUNCTION("IMPORTRANGE(""https://docs.google.com/spreadsheets/d/1XL5vhW3sbDhbH9Cz0tuDiY8C3ctxq1tqvaCgkFb8cCA/edit?usp=sharing"",""ยโสธร!M432"")"),20800)</f>
        <v>20800</v>
      </c>
      <c r="O537" s="169">
        <f t="shared" ca="1" si="118"/>
        <v>60.570762958648807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IFERROR(__xludf.DUMMYFUNCTION("IMPORTRANGE(""https://docs.google.com/spreadsheets/d/1XL5vhW3sbDhbH9Cz0tuDiY8C3ctxq1tqvaCgkFb8cCA/edit?usp=sharing"",""ยโสธร!M436"")"),6000)</f>
        <v>6000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IFERROR(__xludf.DUMMYFUNCTION("IMPORTRANGE(""https://docs.google.com/spreadsheets/d/1XL5vhW3sbDhbH9Cz0tuDiY8C3ctxq1tqvaCgkFb8cCA/edit?usp=sharing"",""ยโสธร!J459"")"),5311)</f>
        <v>5311</v>
      </c>
      <c r="K564" s="372">
        <f ca="1">IF(I564&gt;0,J564*100/I564,0)</f>
        <v>279.5263157894737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IFERROR(__xludf.DUMMYFUNCTION("IMPORTRANGE(""https://docs.google.com/spreadsheets/d/1XL5vhW3sbDhbH9Cz0tuDiY8C3ctxq1tqvaCgkFb8cCA/edit?usp=sharing"",""ยโสธร!M459"")"),49110)</f>
        <v>49110</v>
      </c>
      <c r="O564" s="373">
        <f t="shared" ref="O564:O568" ca="1" si="122">+IF(L564&gt;0,N564*100/L564,0)</f>
        <v>34.526152980877391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IFERROR(__xludf.DUMMYFUNCTION("IMPORTRANGE(""https://docs.google.com/spreadsheets/d/1XL5vhW3sbDhbH9Cz0tuDiY8C3ctxq1tqvaCgkFb8cCA/edit?usp=sharing"",""ยโสธร!M461"")"),49110)</f>
        <v>49110</v>
      </c>
      <c r="O566" s="169">
        <f t="shared" ca="1" si="122"/>
        <v>34.526152980877391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IFERROR(__xludf.DUMMYFUNCTION("IMPORTRANGE(""https://docs.google.com/spreadsheets/d/1XL5vhW3sbDhbH9Cz0tuDiY8C3ctxq1tqvaCgkFb8cCA/edit?usp=sharing"",""ยโสธร!M463"")"),49110)</f>
        <v>49110</v>
      </c>
      <c r="O568" s="169">
        <f t="shared" ca="1" si="122"/>
        <v>34.526152980877391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IFERROR(__xludf.DUMMYFUNCTION("IMPORTRANGE(""https://docs.google.com/spreadsheets/d/1XL5vhW3sbDhbH9Cz0tuDiY8C3ctxq1tqvaCgkFb8cCA/edit?usp=sharing"",""ยโสธร!M466"")"),9900)</f>
        <v>9900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IFERROR(__xludf.DUMMYFUNCTION("IMPORTRANGE(""https://docs.google.com/spreadsheets/d/1XL5vhW3sbDhbH9Cz0tuDiY8C3ctxq1tqvaCgkFb8cCA/edit?usp=sharing"",""ยโสธร!M467"")"),39210)</f>
        <v>39210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IFERROR(__xludf.DUMMYFUNCTION("IMPORTRANGE(""https://docs.google.com/spreadsheets/d/1XL5vhW3sbDhbH9Cz0tuDiY8C3ctxq1tqvaCgkFb8cCA/edit?usp=sharing"",""ยโสธร!J468"")"),5311)</f>
        <v>5311</v>
      </c>
      <c r="K573" s="202">
        <f ca="1">IF(I573&gt;0,J573*100/I573,0)</f>
        <v>279.5263157894737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IFERROR(__xludf.DUMMYFUNCTION("IMPORTRANGE(""https://docs.google.com/spreadsheets/d/1XL5vhW3sbDhbH9Cz0tuDiY8C3ctxq1tqvaCgkFb8cCA/edit?usp=sharing"",""ยโสธร!J471"")"),358)</f>
        <v>358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IFERROR(__xludf.DUMMYFUNCTION("IMPORTRANGE(""https://docs.google.com/spreadsheets/d/1XL5vhW3sbDhbH9Cz0tuDiY8C3ctxq1tqvaCgkFb8cCA/edit?usp=sharing"",""ยโสธร!J472"")"),4953)</f>
        <v>4953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IFERROR(__xludf.DUMMYFUNCTION("IMPORTRANGE(""https://docs.google.com/spreadsheets/d/1XL5vhW3sbDhbH9Cz0tuDiY8C3ctxq1tqvaCgkFb8cCA/edit?usp=sharing"",""ยโสธร!J475"")"),64)</f>
        <v>64</v>
      </c>
      <c r="K580" s="372">
        <f ca="1">IF(I580&gt;0,J580*100/I580,0)</f>
        <v>64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IFERROR(__xludf.DUMMYFUNCTION("IMPORTRANGE(""https://docs.google.com/spreadsheets/d/1XL5vhW3sbDhbH9Cz0tuDiY8C3ctxq1tqvaCgkFb8cCA/edit?usp=sharing"",""ยโสธร!M475"")"),157928)</f>
        <v>157928</v>
      </c>
      <c r="O580" s="373">
        <f t="shared" ref="O580:O584" ca="1" si="124">+IF(L580&gt;0,N580*100/L580,0)</f>
        <v>51.59359686377001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IFERROR(__xludf.DUMMYFUNCTION("IMPORTRANGE(""https://docs.google.com/spreadsheets/d/1XL5vhW3sbDhbH9Cz0tuDiY8C3ctxq1tqvaCgkFb8cCA/edit?usp=sharing"",""ยโสธร!M477"")"),157928)</f>
        <v>157928</v>
      </c>
      <c r="O582" s="169">
        <f t="shared" ca="1" si="124"/>
        <v>51.59359686377001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IFERROR(__xludf.DUMMYFUNCTION("IMPORTRANGE(""https://docs.google.com/spreadsheets/d/1XL5vhW3sbDhbH9Cz0tuDiY8C3ctxq1tqvaCgkFb8cCA/edit?usp=sharing"",""ยโสธร!M479"")"),157928)</f>
        <v>157928</v>
      </c>
      <c r="O584" s="169">
        <f t="shared" ca="1" si="124"/>
        <v>51.59359686377001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IFERROR(__xludf.DUMMYFUNCTION("IMPORTRANGE(""https://docs.google.com/spreadsheets/d/1XL5vhW3sbDhbH9Cz0tuDiY8C3ctxq1tqvaCgkFb8cCA/edit?usp=sharing"",""ยโสธร!M482"")"),65633)</f>
        <v>65633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IFERROR(__xludf.DUMMYFUNCTION("IMPORTRANGE(""https://docs.google.com/spreadsheets/d/1XL5vhW3sbDhbH9Cz0tuDiY8C3ctxq1tqvaCgkFb8cCA/edit?usp=sharing"",""ยโสธร!M483"")"),92295)</f>
        <v>92295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IFERROR(__xludf.DUMMYFUNCTION("IMPORTRANGE(""https://docs.google.com/spreadsheets/d/1XL5vhW3sbDhbH9Cz0tuDiY8C3ctxq1tqvaCgkFb8cCA/edit?usp=sharing"",""ยโสธร!J484"")"),60)</f>
        <v>60</v>
      </c>
      <c r="K589" s="163">
        <f t="shared" ref="K589:K596" ca="1" si="125">IF(I589&gt;0,J589*100/I589,0)</f>
        <v>60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IFERROR(__xludf.DUMMYFUNCTION("IMPORTRANGE(""https://docs.google.com/spreadsheets/d/1XL5vhW3sbDhbH9Cz0tuDiY8C3ctxq1tqvaCgkFb8cCA/edit?usp=sharing"",""ยโสธร!J485"")"),22.45)</f>
        <v>22.45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IFERROR(__xludf.DUMMYFUNCTION("IMPORTRANGE(""https://docs.google.com/spreadsheets/d/1XL5vhW3sbDhbH9Cz0tuDiY8C3ctxq1tqvaCgkFb8cCA/edit?usp=sharing"",""ยโสธร!J486"")"),73)</f>
        <v>73</v>
      </c>
      <c r="K591" s="163">
        <f t="shared" ca="1" si="125"/>
        <v>73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IFERROR(__xludf.DUMMYFUNCTION("IMPORTRANGE(""https://docs.google.com/spreadsheets/d/1XL5vhW3sbDhbH9Cz0tuDiY8C3ctxq1tqvaCgkFb8cCA/edit?usp=sharing"",""ยโสธร!J487"")"),32.38)</f>
        <v>32.380000000000003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IFERROR(__xludf.DUMMYFUNCTION("IMPORTRANGE(""https://docs.google.com/spreadsheets/d/1XL5vhW3sbDhbH9Cz0tuDiY8C3ctxq1tqvaCgkFb8cCA/edit?usp=sharing"",""ยโสธร!J488"")"),40)</f>
        <v>40</v>
      </c>
      <c r="K593" s="163">
        <f t="shared" ca="1" si="125"/>
        <v>40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IFERROR(__xludf.DUMMYFUNCTION("IMPORTRANGE(""https://docs.google.com/spreadsheets/d/1XL5vhW3sbDhbH9Cz0tuDiY8C3ctxq1tqvaCgkFb8cCA/edit?usp=sharing"",""ยโสธร!J489"")"),16.17)</f>
        <v>16.170000000000002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IFERROR(__xludf.DUMMYFUNCTION("IMPORTRANGE(""https://docs.google.com/spreadsheets/d/1XL5vhW3sbDhbH9Cz0tuDiY8C3ctxq1tqvaCgkFb8cCA/edit?usp=sharing"",""ยโสธร!J490"")"),64)</f>
        <v>64</v>
      </c>
      <c r="K595" s="163">
        <f t="shared" ca="1" si="125"/>
        <v>64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IFERROR(__xludf.DUMMYFUNCTION("IMPORTRANGE(""https://docs.google.com/spreadsheets/d/1XL5vhW3sbDhbH9Cz0tuDiY8C3ctxq1tqvaCgkFb8cCA/edit?usp=sharing"",""ยโสธร!J491"")"),28.58)</f>
        <v>28.58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IFERROR(__xludf.DUMMYFUNCTION("IMPORTRANGE(""https://docs.google.com/spreadsheets/d/1XL5vhW3sbDhbH9Cz0tuDiY8C3ctxq1tqvaCgkFb8cCA/edit?usp=sharing"",""ยโสธร!J166"")"),0)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IFERROR(__xludf.DUMMYFUNCTION("IMPORTRANGE(""https://docs.google.com/spreadsheets/d/1XL5vhW3sbDhbH9Cz0tuDiY8C3ctxq1tqvaCgkFb8cCA/edit?usp=sharing"",""ยโสธร!J166"")"),0)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IFERROR(__xludf.DUMMYFUNCTION("IMPORTRANGE(""https://docs.google.com/spreadsheets/d/1XL5vhW3sbDhbH9Cz0tuDiY8C3ctxq1tqvaCgkFb8cCA/edit?usp=sharing"",""ยโสธร!J523"")"),4587714.19)</f>
        <v>4587714.1900000004</v>
      </c>
      <c r="K628" s="343">
        <f t="shared" ref="K628:K635" ca="1" si="129">IF(I628&gt;0,J628*100/I628,0)</f>
        <v>73.457130431510109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IFERROR(__xludf.DUMMYFUNCTION("IMPORTRANGE(""https://docs.google.com/spreadsheets/d/1XL5vhW3sbDhbH9Cz0tuDiY8C3ctxq1tqvaCgkFb8cCA/edit?usp=sharing"",""ยโสธร!J524"")"),446)</f>
        <v>446</v>
      </c>
      <c r="K629" s="343">
        <f t="shared" ca="1" si="129"/>
        <v>71.36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IFERROR(__xludf.DUMMYFUNCTION("IMPORTRANGE(""https://docs.google.com/spreadsheets/d/1XL5vhW3sbDhbH9Cz0tuDiY8C3ctxq1tqvaCgkFb8cCA/edit?usp=sharing"",""ยโสธร!J525"")"),881750.36)</f>
        <v>881750.36</v>
      </c>
      <c r="K630" s="343">
        <f t="shared" ca="1" si="129"/>
        <v>19.232733660905133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IFERROR(__xludf.DUMMYFUNCTION("IMPORTRANGE(""https://docs.google.com/spreadsheets/d/1XL5vhW3sbDhbH9Cz0tuDiY8C3ctxq1tqvaCgkFb8cCA/edit?usp=sharing"",""ยโสธร!J526"")"),128)</f>
        <v>128</v>
      </c>
      <c r="K631" s="343">
        <f t="shared" ca="1" si="129"/>
        <v>46.545454545454547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IFERROR(__xludf.DUMMYFUNCTION("IMPORTRANGE(""https://docs.google.com/spreadsheets/d/1XL5vhW3sbDhbH9Cz0tuDiY8C3ctxq1tqvaCgkFb8cCA/edit?usp=sharing"",""ยโสธร!I529"")"),7700000)</f>
        <v>7700000</v>
      </c>
      <c r="J634" s="342">
        <f ca="1">IFERROR(__xludf.DUMMYFUNCTION("IMPORTRANGE(""https://docs.google.com/spreadsheets/d/1XL5vhW3sbDhbH9Cz0tuDiY8C3ctxq1tqvaCgkFb8cCA/edit?usp=sharing"",""ยโสธร!J529"")"),5625000)</f>
        <v>5625000</v>
      </c>
      <c r="K634" s="343">
        <f t="shared" ca="1" si="129"/>
        <v>73.051948051948045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IFERROR(__xludf.DUMMYFUNCTION("IMPORTRANGE(""https://docs.google.com/spreadsheets/d/1XL5vhW3sbDhbH9Cz0tuDiY8C3ctxq1tqvaCgkFb8cCA/edit?usp=sharing"",""ยโสธร!J530"")"),181)</f>
        <v>181</v>
      </c>
      <c r="K635" s="486">
        <f t="shared" ca="1" si="129"/>
        <v>60.333333333333336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IFERROR(__xludf.DUMMYFUNCTION("IMPORTRANGE(""https://docs.google.com/spreadsheets/d/1XL5vhW3sbDhbH9Cz0tuDiY8C3ctxq1tqvaCgkFb8cCA/edit#gid=346597447"",""ยโสธร!J541"")"),0)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IFERROR(__xludf.DUMMYFUNCTION("IMPORTRANGE(""https://docs.google.com/spreadsheets/d/1XL5vhW3sbDhbH9Cz0tuDiY8C3ctxq1tqvaCgkFb8cCA/edit#gid=346597447"",""ยโสธร!J542"")"),0)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IFERROR(__xludf.DUMMYFUNCTION("IMPORTRANGE(""https://docs.google.com/spreadsheets/d/1XL5vhW3sbDhbH9Cz0tuDiY8C3ctxq1tqvaCgkFb8cCA/edit#gid=346597447"",""ยโสธร!I543"")"),0)</f>
        <v>0</v>
      </c>
      <c r="J648" s="585">
        <f ca="1">IFERROR(__xludf.DUMMYFUNCTION("IMPORTRANGE(""https://docs.google.com/spreadsheets/d/1XL5vhW3sbDhbH9Cz0tuDiY8C3ctxq1tqvaCgkFb8cCA/edit#gid=346597447"",""ยโสธร!J543"")"),0)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IFERROR(__xludf.DUMMYFUNCTION("IMPORTRANGE(""https://docs.google.com/spreadsheets/d/1XL5vhW3sbDhbH9Cz0tuDiY8C3ctxq1tqvaCgkFb8cCA/edit#gid=346597447"",""ยโสธร!L543"")"),0)</f>
        <v>0</v>
      </c>
      <c r="M648" s="570"/>
      <c r="N648" s="587">
        <f ca="1">IFERROR(__xludf.DUMMYFUNCTION("IMPORTRANGE(""https://docs.google.com/spreadsheets/d/1XL5vhW3sbDhbH9Cz0tuDiY8C3ctxq1tqvaCgkFb8cCA/edit#gid=346597447"",""ยโสธร!M543"")"),0)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IFERROR(__xludf.DUMMYFUNCTION("IMPORTRANGE(""https://docs.google.com/spreadsheets/d/1XL5vhW3sbDhbH9Cz0tuDiY8C3ctxq1tqvaCgkFb8cCA/edit#gid=346597447"",""ยโสธร!I544"")"),0)</f>
        <v>0</v>
      </c>
      <c r="J649" s="585">
        <f ca="1">IFERROR(__xludf.DUMMYFUNCTION("IMPORTRANGE(""https://docs.google.com/spreadsheets/d/1XL5vhW3sbDhbH9Cz0tuDiY8C3ctxq1tqvaCgkFb8cCA/edit#gid=346597447"",""ยโสธร!J544"")"),0)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IFERROR(__xludf.DUMMYFUNCTION("IMPORTRANGE(""https://docs.google.com/spreadsheets/d/1XL5vhW3sbDhbH9Cz0tuDiY8C3ctxq1tqvaCgkFb8cCA/edit#gid=346597447"",""ยโสธร!L544"")"),0)</f>
        <v>0</v>
      </c>
      <c r="M649" s="570"/>
      <c r="N649" s="587">
        <f ca="1">IFERROR(__xludf.DUMMYFUNCTION("IMPORTRANGE(""https://docs.google.com/spreadsheets/d/1XL5vhW3sbDhbH9Cz0tuDiY8C3ctxq1tqvaCgkFb8cCA/edit#gid=346597447"",""ยโสธร!M544"")"),0)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IFERROR(__xludf.DUMMYFUNCTION("IMPORTRANGE(""https://docs.google.com/spreadsheets/d/1XL5vhW3sbDhbH9Cz0tuDiY8C3ctxq1tqvaCgkFb8cCA/edit#gid=346597447"",""ยโสธร!I545"")"),0)</f>
        <v>0</v>
      </c>
      <c r="J650" s="585">
        <f ca="1">IFERROR(__xludf.DUMMYFUNCTION("IMPORTRANGE(""https://docs.google.com/spreadsheets/d/1XL5vhW3sbDhbH9Cz0tuDiY8C3ctxq1tqvaCgkFb8cCA/edit#gid=346597447"",""ยโสธร!J545"")"),0)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IFERROR(__xludf.DUMMYFUNCTION("IMPORTRANGE(""https://docs.google.com/spreadsheets/d/1XL5vhW3sbDhbH9Cz0tuDiY8C3ctxq1tqvaCgkFb8cCA/edit#gid=346597447"",""ยโสธร!L545"")"),0)</f>
        <v>0</v>
      </c>
      <c r="M650" s="570"/>
      <c r="N650" s="587">
        <f ca="1">IFERROR(__xludf.DUMMYFUNCTION("IMPORTRANGE(""https://docs.google.com/spreadsheets/d/1XL5vhW3sbDhbH9Cz0tuDiY8C3ctxq1tqvaCgkFb8cCA/edit#gid=346597447"",""ยโสธร!M545"")"),0)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IFERROR(__xludf.DUMMYFUNCTION("IMPORTRANGE(""https://docs.google.com/spreadsheets/d/1XL5vhW3sbDhbH9Cz0tuDiY8C3ctxq1tqvaCgkFb8cCA/edit#gid=346597447"",""ยโสธร!I546"")"),0)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IFERROR(__xludf.DUMMYFUNCTION("IMPORTRANGE(""https://docs.google.com/spreadsheets/d/1XL5vhW3sbDhbH9Cz0tuDiY8C3ctxq1tqvaCgkFb8cCA/edit#gid=346597447"",""ยโสธร!L546"")"),0)</f>
        <v>0</v>
      </c>
      <c r="M651" s="570"/>
      <c r="N651" s="587">
        <f ca="1">IFERROR(__xludf.DUMMYFUNCTION("IMPORTRANGE(""https://docs.google.com/spreadsheets/d/1XL5vhW3sbDhbH9Cz0tuDiY8C3ctxq1tqvaCgkFb8cCA/edit#gid=346597447"",""ยโสธร!M546"")"),0)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IFERROR(__xludf.DUMMYFUNCTION("IMPORTRANGE(""https://docs.google.com/spreadsheets/d/1XL5vhW3sbDhbH9Cz0tuDiY8C3ctxq1tqvaCgkFb8cCA/edit#gid=346597447"",""ยโสธร!J547"")"),0)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IFERROR(__xludf.DUMMYFUNCTION("IMPORTRANGE(""https://docs.google.com/spreadsheets/d/1XL5vhW3sbDhbH9Cz0tuDiY8C3ctxq1tqvaCgkFb8cCA/edit#gid=346597447"",""ยโสธร!J548"")"),0)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IFERROR(__xludf.DUMMYFUNCTION("IMPORTRANGE(""https://docs.google.com/spreadsheets/d/1XL5vhW3sbDhbH9Cz0tuDiY8C3ctxq1tqvaCgkFb8cCA/edit#gid=346597447"",""ยโสธร!J550"")"),0)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IFERROR(__xludf.DUMMYFUNCTION("IMPORTRANGE(""https://docs.google.com/spreadsheets/d/1XL5vhW3sbDhbH9Cz0tuDiY8C3ctxq1tqvaCgkFb8cCA/edit#gid=346597447"",""ยโสธร!J551"")"),0)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IFERROR(__xludf.DUMMYFUNCTION("IMPORTRANGE(""https://docs.google.com/spreadsheets/d/1XL5vhW3sbDhbH9Cz0tuDiY8C3ctxq1tqvaCgkFb8cCA/edit#gid=346597447"",""ยโสธร!J552"")"),0)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IFERROR(__xludf.DUMMYFUNCTION("IMPORTRANGE(""https://docs.google.com/spreadsheets/d/1XL5vhW3sbDhbH9Cz0tuDiY8C3ctxq1tqvaCgkFb8cCA/edit#gid=346597447"",""ยโสธร!J553"")"),0)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IFERROR(__xludf.DUMMYFUNCTION("IMPORTRANGE(""https://docs.google.com/spreadsheets/d/1XL5vhW3sbDhbH9Cz0tuDiY8C3ctxq1tqvaCgkFb8cCA/edit#gid=346597447"",""ยโสธร!J554"")"),0)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IFERROR(__xludf.DUMMYFUNCTION("IMPORTRANGE(""https://docs.google.com/spreadsheets/d/1XL5vhW3sbDhbH9Cz0tuDiY8C3ctxq1tqvaCgkFb8cCA/edit#gid=346597447"",""ยโสธร!J555"")"),0)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IFERROR(__xludf.DUMMYFUNCTION("IMPORTRANGE(""https://docs.google.com/spreadsheets/d/1XL5vhW3sbDhbH9Cz0tuDiY8C3ctxq1tqvaCgkFb8cCA/edit#gid=346597447"",""ยโสธร!J556"")"),0)</f>
        <v>0</v>
      </c>
      <c r="K661" s="586"/>
      <c r="L661" s="571">
        <f ca="1">IFERROR(__xludf.DUMMYFUNCTION("IMPORTRANGE(""https://docs.google.com/spreadsheets/d/1XL5vhW3sbDhbH9Cz0tuDiY8C3ctxq1tqvaCgkFb8cCA/edit#gid=346597447"",""ยโสธร!L556"")"),0)</f>
        <v>0</v>
      </c>
      <c r="M661" s="570"/>
      <c r="N661" s="587">
        <f ca="1">IFERROR(__xludf.DUMMYFUNCTION("IMPORTRANGE(""https://docs.google.com/spreadsheets/d/1XL5vhW3sbDhbH9Cz0tuDiY8C3ctxq1tqvaCgkFb8cCA/edit#gid=346597447"",""ยโสธร!M556"")"),0)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IFERROR(__xludf.DUMMYFUNCTION("IMPORTRANGE(""https://docs.google.com/spreadsheets/d/1XL5vhW3sbDhbH9Cz0tuDiY8C3ctxq1tqvaCgkFb8cCA/edit#gid=346597447"",""ยโสธร!J557"")"),0)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IFERROR(__xludf.DUMMYFUNCTION("IMPORTRANGE(""https://docs.google.com/spreadsheets/d/1XL5vhW3sbDhbH9Cz0tuDiY8C3ctxq1tqvaCgkFb8cCA/edit#gid=346597447"",""ยโสธร!I558"")"),0)</f>
        <v>0</v>
      </c>
      <c r="J663" s="585">
        <f ca="1">IFERROR(__xludf.DUMMYFUNCTION("IMPORTRANGE(""https://docs.google.com/spreadsheets/d/1XL5vhW3sbDhbH9Cz0tuDiY8C3ctxq1tqvaCgkFb8cCA/edit#gid=346597447"",""ยโสธร!J558"")"),0)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IFERROR(__xludf.DUMMYFUNCTION("IMPORTRANGE(""https://docs.google.com/spreadsheets/d/1XL5vhW3sbDhbH9Cz0tuDiY8C3ctxq1tqvaCgkFb8cCA/edit#gid=346597447"",""ยโสธร!I560"")"),0)</f>
        <v>0</v>
      </c>
      <c r="J665" s="585">
        <f ca="1">IFERROR(__xludf.DUMMYFUNCTION("IMPORTRANGE(""https://docs.google.com/spreadsheets/d/1XL5vhW3sbDhbH9Cz0tuDiY8C3ctxq1tqvaCgkFb8cCA/edit#gid=346597447"",""ยโสธร!J560"")"),0)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IFERROR(__xludf.DUMMYFUNCTION("IMPORTRANGE(""https://docs.google.com/spreadsheets/d/1XL5vhW3sbDhbH9Cz0tuDiY8C3ctxq1tqvaCgkFb8cCA/edit#gid=346597447"",""ยโสธร!L560"")"),0)</f>
        <v>0</v>
      </c>
      <c r="M665" s="570"/>
      <c r="N665" s="587">
        <f ca="1">IFERROR(__xludf.DUMMYFUNCTION("IMPORTRANGE(""https://docs.google.com/spreadsheets/d/1XL5vhW3sbDhbH9Cz0tuDiY8C3ctxq1tqvaCgkFb8cCA/edit#gid=346597447"",""ยโสธร!M560"")"),0)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IFERROR(__xludf.DUMMYFUNCTION("IMPORTRANGE(""https://docs.google.com/spreadsheets/d/1XL5vhW3sbDhbH9Cz0tuDiY8C3ctxq1tqvaCgkFb8cCA/edit#gid=346597447"",""ยโสธร!J561"")"),0)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IFERROR(__xludf.DUMMYFUNCTION("IMPORTRANGE(""https://docs.google.com/spreadsheets/d/1XL5vhW3sbDhbH9Cz0tuDiY8C3ctxq1tqvaCgkFb8cCA/edit#gid=346597447"",""ยโสธร!J562"")"),0)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IFERROR(__xludf.DUMMYFUNCTION("IMPORTRANGE(""https://docs.google.com/spreadsheets/d/1XL5vhW3sbDhbH9Cz0tuDiY8C3ctxq1tqvaCgkFb8cCA/edit#gid=346597447"",""ยโสธร!I563"")"),0)</f>
        <v>0</v>
      </c>
      <c r="J668" s="585">
        <f ca="1">IFERROR(__xludf.DUMMYFUNCTION("IMPORTRANGE(""https://docs.google.com/spreadsheets/d/1XL5vhW3sbDhbH9Cz0tuDiY8C3ctxq1tqvaCgkFb8cCA/edit#gid=346597447"",""ยโสธร!J563"")"),0)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IFERROR(__xludf.DUMMYFUNCTION("IMPORTRANGE(""https://docs.google.com/spreadsheets/d/1XL5vhW3sbDhbH9Cz0tuDiY8C3ctxq1tqvaCgkFb8cCA/edit#gid=346597447"",""ยโสธร!L563"")"),0)</f>
        <v>0</v>
      </c>
      <c r="M668" s="570"/>
      <c r="N668" s="587">
        <f ca="1">IFERROR(__xludf.DUMMYFUNCTION("IMPORTRANGE(""https://docs.google.com/spreadsheets/d/1XL5vhW3sbDhbH9Cz0tuDiY8C3ctxq1tqvaCgkFb8cCA/edit#gid=346597447"",""ยโสธร!M563"")"),0)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IFERROR(__xludf.DUMMYFUNCTION("IMPORTRANGE(""https://docs.google.com/spreadsheets/d/1XL5vhW3sbDhbH9Cz0tuDiY8C3ctxq1tqvaCgkFb8cCA/edit#gid=346597447"",""ยโสธร!J564"")"),0)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IFERROR(__xludf.DUMMYFUNCTION("IMPORTRANGE(""https://docs.google.com/spreadsheets/d/1XL5vhW3sbDhbH9Cz0tuDiY8C3ctxq1tqvaCgkFb8cCA/edit#gid=346597447"",""ยโสธร!J565"")"),0)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IFERROR(__xludf.DUMMYFUNCTION("IMPORTRANGE(""https://docs.google.com/spreadsheets/d/1XL5vhW3sbDhbH9Cz0tuDiY8C3ctxq1tqvaCgkFb8cCA/edit#gid=346597447"",""ยโสธร!I566"")"),0)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IFERROR(__xludf.DUMMYFUNCTION("IMPORTRANGE(""https://docs.google.com/spreadsheets/d/1XL5vhW3sbDhbH9Cz0tuDiY8C3ctxq1tqvaCgkFb8cCA/edit#gid=346597447"",""ยโสธร!L566"")"),0)</f>
        <v>0</v>
      </c>
      <c r="M671" s="570"/>
      <c r="N671" s="587">
        <f ca="1">IFERROR(__xludf.DUMMYFUNCTION("IMPORTRANGE(""https://docs.google.com/spreadsheets/d/1XL5vhW3sbDhbH9Cz0tuDiY8C3ctxq1tqvaCgkFb8cCA/edit#gid=346597447"",""ยโสธร!M566"")"),0)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IFERROR(__xludf.DUMMYFUNCTION("IMPORTRANGE(""https://docs.google.com/spreadsheets/d/1XL5vhW3sbDhbH9Cz0tuDiY8C3ctxq1tqvaCgkFb8cCA/edit#gid=346597447"",""ยโสธร!J567"")"),0)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IFERROR(__xludf.DUMMYFUNCTION("IMPORTRANGE(""https://docs.google.com/spreadsheets/d/1XL5vhW3sbDhbH9Cz0tuDiY8C3ctxq1tqvaCgkFb8cCA/edit#gid=346597447"",""ยโสธร!J568"")"),0)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IFERROR(__xludf.DUMMYFUNCTION("IMPORTRANGE(""https://docs.google.com/spreadsheets/d/1XL5vhW3sbDhbH9Cz0tuDiY8C3ctxq1tqvaCgkFb8cCA/edit#gid=346597447"",""ยโสธร!J569"")"),0)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IFERROR(__xludf.DUMMYFUNCTION("IMPORTRANGE(""https://docs.google.com/spreadsheets/d/1XL5vhW3sbDhbH9Cz0tuDiY8C3ctxq1tqvaCgkFb8cCA/edit#gid=346597447"",""ยโสธร!J570"")"),0)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IFERROR(__xludf.DUMMYFUNCTION("IMPORTRANGE(""https://docs.google.com/spreadsheets/d/1XL5vhW3sbDhbH9Cz0tuDiY8C3ctxq1tqvaCgkFb8cCA/edit#gid=346597447"",""ยโสธร!J571"")"),0)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IFERROR(__xludf.DUMMYFUNCTION("IMPORTRANGE(""https://docs.google.com/spreadsheets/d/1XL5vhW3sbDhbH9Cz0tuDiY8C3ctxq1tqvaCgkFb8cCA/edit#gid=346597447"",""ยโสธร!J572"")"),0)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7126443</v>
      </c>
      <c r="M8" s="23">
        <f t="shared" ca="1" si="0"/>
        <v>3448140</v>
      </c>
      <c r="N8" s="23">
        <f t="shared" ca="1" si="0"/>
        <v>5085684.8599999994</v>
      </c>
      <c r="O8" s="22">
        <f t="shared" ref="O8:O16" ca="1" si="1">IF(L8&gt;0,N8*100/L8,0)</f>
        <v>71.363580119843789</v>
      </c>
      <c r="P8" s="22">
        <f t="shared" ref="P8:P16" ca="1" si="2">IF(M8&gt;0,N8*100/M8,0)</f>
        <v>147.49067207247964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7126443</v>
      </c>
      <c r="M10" s="30">
        <f t="shared" ca="1" si="4"/>
        <v>3448140</v>
      </c>
      <c r="N10" s="30">
        <f t="shared" ca="1" si="4"/>
        <v>5085684.8599999994</v>
      </c>
      <c r="O10" s="29">
        <f t="shared" ca="1" si="1"/>
        <v>71.363580119843789</v>
      </c>
      <c r="P10" s="29">
        <f t="shared" ca="1" si="2"/>
        <v>147.49067207247964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6942443</v>
      </c>
      <c r="M12" s="38">
        <f t="shared" ca="1" si="6"/>
        <v>3264140</v>
      </c>
      <c r="N12" s="38">
        <f t="shared" ca="1" si="6"/>
        <v>4901684.8599999994</v>
      </c>
      <c r="O12" s="38">
        <f t="shared" ca="1" si="1"/>
        <v>70.604610797668769</v>
      </c>
      <c r="P12" s="38">
        <f t="shared" ca="1" si="2"/>
        <v>150.16772748717884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4401343</v>
      </c>
      <c r="M14" s="38">
        <f t="shared" si="8"/>
        <v>0</v>
      </c>
      <c r="N14" s="38">
        <f t="shared" ca="1" si="8"/>
        <v>1805432.08</v>
      </c>
      <c r="O14" s="38">
        <f t="shared" ca="1" si="1"/>
        <v>41.020026841807152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4251990</v>
      </c>
      <c r="M18" s="23">
        <f t="shared" ca="1" si="11"/>
        <v>3448140</v>
      </c>
      <c r="N18" s="23">
        <f t="shared" ca="1" si="11"/>
        <v>3280252.78</v>
      </c>
      <c r="O18" s="22">
        <f t="shared" ref="O18:O20" ca="1" si="12">IF(L18&gt;0,N18*100/L18,0)</f>
        <v>77.146295734467856</v>
      </c>
      <c r="P18" s="22">
        <f t="shared" ref="P18:P26" ca="1" si="13">IF(M18&gt;0,N18*100/M18,0)</f>
        <v>95.131078784504112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4251990</v>
      </c>
      <c r="M20" s="30">
        <f t="shared" ca="1" si="15"/>
        <v>3448140</v>
      </c>
      <c r="N20" s="30">
        <f t="shared" ca="1" si="15"/>
        <v>3280252.78</v>
      </c>
      <c r="O20" s="29">
        <f t="shared" ca="1" si="12"/>
        <v>77.146295734467856</v>
      </c>
      <c r="P20" s="29">
        <f t="shared" ca="1" si="13"/>
        <v>95.131078784504112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4067990</v>
      </c>
      <c r="M22" s="41">
        <f t="shared" ca="1" si="18"/>
        <v>3264140</v>
      </c>
      <c r="N22" s="38">
        <f t="shared" ca="1" si="18"/>
        <v>3096252.78</v>
      </c>
      <c r="O22" s="38">
        <f t="shared" ca="1" si="17"/>
        <v>76.112595655348215</v>
      </c>
      <c r="P22" s="38">
        <f t="shared" ca="1" si="13"/>
        <v>94.85661705686644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1526890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2874453</v>
      </c>
      <c r="M28" s="23">
        <f t="shared" si="23"/>
        <v>0</v>
      </c>
      <c r="N28" s="23">
        <f t="shared" ca="1" si="23"/>
        <v>1805432.08</v>
      </c>
      <c r="O28" s="22">
        <f t="shared" ref="O28:O30" ca="1" si="24">IF(L28&gt;0,N28*100/L28,0)</f>
        <v>62.809587772003923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2874453</v>
      </c>
      <c r="M30" s="30">
        <f t="shared" si="27"/>
        <v>0</v>
      </c>
      <c r="N30" s="30">
        <f t="shared" ca="1" si="27"/>
        <v>1805432.08</v>
      </c>
      <c r="O30" s="29">
        <f t="shared" ca="1" si="24"/>
        <v>62.809587772003923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2874453</v>
      </c>
      <c r="M32" s="38">
        <f t="shared" si="30"/>
        <v>0</v>
      </c>
      <c r="N32" s="38">
        <f t="shared" ca="1" si="30"/>
        <v>1805432.08</v>
      </c>
      <c r="O32" s="38">
        <f t="shared" ca="1" si="29"/>
        <v>62.809587772003923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2874453</v>
      </c>
      <c r="M34" s="38">
        <f t="shared" si="32"/>
        <v>0</v>
      </c>
      <c r="N34" s="38">
        <f t="shared" ca="1" si="32"/>
        <v>1805432.08</v>
      </c>
      <c r="O34" s="38">
        <f t="shared" ca="1" si="29"/>
        <v>62.809587772003923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4251990</v>
      </c>
      <c r="M37" s="54">
        <f t="shared" ca="1" si="33"/>
        <v>3448140</v>
      </c>
      <c r="N37" s="54">
        <f t="shared" ca="1" si="33"/>
        <v>3280252.78</v>
      </c>
      <c r="O37" s="55">
        <f t="shared" ca="1" si="29"/>
        <v>77.146295734467856</v>
      </c>
      <c r="P37" s="55">
        <f t="shared" ca="1" si="25"/>
        <v>95.131078784504112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678100</v>
      </c>
      <c r="N41" s="78">
        <f t="shared" ca="1" si="34"/>
        <v>677558.16</v>
      </c>
      <c r="O41" s="77">
        <f t="shared" ref="O41:O43" ca="1" si="35">IF(L41&gt;0,N41*100/L41,0)</f>
        <v>74.942833757327733</v>
      </c>
      <c r="P41" s="77">
        <f t="shared" ref="P41:P43" ca="1" si="36">IF(M41&gt;0,N41*100/M41,0)</f>
        <v>99.920094381359675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678100</v>
      </c>
      <c r="N43" s="78">
        <f t="shared" ca="1" si="38"/>
        <v>677558.16</v>
      </c>
      <c r="O43" s="77">
        <f t="shared" ca="1" si="35"/>
        <v>74.942833757327733</v>
      </c>
      <c r="P43" s="77">
        <f t="shared" ca="1" si="36"/>
        <v>99.920094381359675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2">
        <f ca="1">IFERROR(__xludf.DUMMYFUNCTION("IMPORTRANGE(""https://docs.google.com/spreadsheets/d/1Yj_ptqi66GCucihVvJfMjLAmec39IyEx_6qawtMGysU/edit?usp=sharing"",""สบก!Q48"")"),678100)</f>
        <v>678100</v>
      </c>
      <c r="N45" s="622">
        <f ca="1">IFERROR(__xludf.DUMMYFUNCTION("IMPORTRANGE(""https://docs.google.com/spreadsheets/d/1Yj_ptqi66GCucihVvJfMjLAmec39IyEx_6qawtMGysU/edit?usp=sharing"",""สบก!R48"")"),677558.16)</f>
        <v>677558.16</v>
      </c>
      <c r="O45" s="623">
        <f ca="1">IF(L45&gt;0,N45*100/L45,0)</f>
        <v>74.942833757327733</v>
      </c>
      <c r="P45" s="623">
        <f ca="1">IF(M45&gt;0,N45*100/M45,0)</f>
        <v>99.920094381359675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IFERROR(__xludf.DUMMYFUNCTION("IMPORTRANGE(""https://docs.google.com/spreadsheets/d/1Yj_ptqi66GCucihVvJfMjLAmec39IyEx_6qawtMGysU/edit?usp=sharing"",""สบก!M48"")"),904100)</f>
        <v>904100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IFERROR(__xludf.DUMMYFUNCTION("IMPORTRANGE(""https://docs.google.com/spreadsheets/d/1Yj_ptqi66GCucihVvJfMjLAmec39IyEx_6qawtMGysU/edit?usp=sharing"",""สบก!N48"")"),0)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IFERROR(__xludf.DUMMYFUNCTION("IMPORTRANGE(""https://docs.google.com/spreadsheets/d/1Yj_ptqi66GCucihVvJfMjLAmec39IyEx_6qawtMGysU/edit?usp=sharing"",""สบก!O48"")"),0)</f>
        <v>0</v>
      </c>
      <c r="M49" s="625"/>
      <c r="N49" s="622">
        <f ca="1">IFERROR(__xludf.DUMMYFUNCTION("IMPORTRANGE(""https://docs.google.com/spreadsheets/d/1Yj_ptqi66GCucihVvJfMjLAmec39IyEx_6qawtMGysU/edit?usp=sharing"",""สบก!S48"")"),0)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763195</v>
      </c>
      <c r="N53" s="121">
        <f t="shared" ca="1" si="39"/>
        <v>697682</v>
      </c>
      <c r="O53" s="120">
        <f t="shared" ref="O53:O55" ca="1" si="40">IF(L53&gt;0,N53*100/L53,0)</f>
        <v>71.250204248366018</v>
      </c>
      <c r="P53" s="120">
        <f t="shared" ref="P53:P55" ca="1" si="41">IF(M53&gt;0,N53*100/M53,0)</f>
        <v>91.415955293208157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763195</v>
      </c>
      <c r="N55" s="121">
        <f t="shared" ca="1" si="43"/>
        <v>697682</v>
      </c>
      <c r="O55" s="120">
        <f t="shared" ca="1" si="40"/>
        <v>71.250204248366018</v>
      </c>
      <c r="P55" s="120">
        <f t="shared" ca="1" si="41"/>
        <v>91.415955293208157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622">
        <f ca="1">IFERROR(__xludf.DUMMYFUNCTION("IMPORTRANGE(""https://docs.google.com/spreadsheets/d/1Yj_ptqi66GCucihVvJfMjLAmec39IyEx_6qawtMGysU/edit?usp=sharing"",""สบก!Z48"")"),763195)</f>
        <v>763195</v>
      </c>
      <c r="N57" s="622">
        <f ca="1">IFERROR(__xludf.DUMMYFUNCTION("IMPORTRANGE(""https://docs.google.com/spreadsheets/d/1Yj_ptqi66GCucihVvJfMjLAmec39IyEx_6qawtMGysU/edit?usp=sharing"",""สบก!AA48"")"),697682)</f>
        <v>697682</v>
      </c>
      <c r="O57" s="623">
        <f ca="1">IF(L57&gt;0,N57*100/L57,0)</f>
        <v>71.250204248366018</v>
      </c>
      <c r="P57" s="623">
        <f ca="1">IF(M57&gt;0,N57*100/M57,0)</f>
        <v>91.415955293208157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IFERROR(__xludf.DUMMYFUNCTION("IMPORTRANGE(""https://docs.google.com/spreadsheets/d/1Yj_ptqi66GCucihVvJfMjLAmec39IyEx_6qawtMGysU/edit?usp=sharing"",""สบก!V48"")"),979200)</f>
        <v>979200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IFERROR(__xludf.DUMMYFUNCTION("IMPORTRANGE(""https://docs.google.com/spreadsheets/d/1Yj_ptqi66GCucihVvJfMjLAmec39IyEx_6qawtMGysU/edit?usp=sharing"",""สบก!W48"")"),0)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IFERROR(__xludf.DUMMYFUNCTION("IMPORTRANGE(""https://docs.google.com/spreadsheets/d/1Yj_ptqi66GCucihVvJfMjLAmec39IyEx_6qawtMGysU/edit?usp=sharing"",""สบก!X48"")"),0)</f>
        <v>0</v>
      </c>
      <c r="M61" s="625"/>
      <c r="N61" s="622">
        <f ca="1">IFERROR(__xludf.DUMMYFUNCTION("IMPORTRANGE(""https://docs.google.com/spreadsheets/d/1Yj_ptqi66GCucihVvJfMjLAmec39IyEx_6qawtMGysU/edit?usp=sharing"",""สบก!AB48"")"),0)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709120</v>
      </c>
      <c r="N66" s="152">
        <f t="shared" ca="1" si="45"/>
        <v>708685.26</v>
      </c>
      <c r="O66" s="151">
        <f t="shared" ref="O66:O68" ca="1" si="46">IF(L66&gt;0,N66*100/L66,0)</f>
        <v>79.860858688302912</v>
      </c>
      <c r="P66" s="151">
        <f t="shared" ref="P66:P68" ca="1" si="47">IF(M66&gt;0,N66*100/M66,0)</f>
        <v>99.938693027978346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709120</v>
      </c>
      <c r="N68" s="157">
        <f t="shared" ca="1" si="49"/>
        <v>708685.26</v>
      </c>
      <c r="O68" s="156">
        <f t="shared" ca="1" si="46"/>
        <v>79.860858688302912</v>
      </c>
      <c r="P68" s="156">
        <f t="shared" ca="1" si="47"/>
        <v>99.938693027978346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887400</v>
      </c>
      <c r="M70" s="626">
        <f ca="1">IFERROR(__xludf.DUMMYFUNCTION("IMPORTRANGE(""https://docs.google.com/spreadsheets/d/1Yj_ptqi66GCucihVvJfMjLAmec39IyEx_6qawtMGysU/edit?usp=sharing"",""สบก!AI48"")"),709120)</f>
        <v>709120</v>
      </c>
      <c r="N70" s="627">
        <f ca="1">IFERROR(__xludf.DUMMYFUNCTION("IMPORTRANGE(""https://docs.google.com/spreadsheets/d/1Yj_ptqi66GCucihVvJfMjLAmec39IyEx_6qawtMGysU/edit?usp=sharing"",""สบก!AJ48"")"),708685.26)</f>
        <v>708685.26</v>
      </c>
      <c r="O70" s="169">
        <f ca="1">IF(L70&gt;0,N70*100/L70,0)</f>
        <v>79.860858688302912</v>
      </c>
      <c r="P70" s="169">
        <f ca="1">IF(M70&gt;0,N70*100/M70,0)</f>
        <v>99.938693027978346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IFERROR(__xludf.DUMMYFUNCTION("IMPORTRANGE(""https://docs.google.com/spreadsheets/d/1Yj_ptqi66GCucihVvJfMjLAmec39IyEx_6qawtMGysU/edit?usp=sharing"",""สบก!AF48"")"),424000)</f>
        <v>424000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IFERROR(__xludf.DUMMYFUNCTION("IMPORTRANGE(""https://docs.google.com/spreadsheets/d/1Yj_ptqi66GCucihVvJfMjLAmec39IyEx_6qawtMGysU/edit?usp=sharing"",""สบก!AG48"")"),0)</f>
        <v>0</v>
      </c>
      <c r="M74" s="625"/>
      <c r="N74" s="622">
        <f ca="1">IFERROR(__xludf.DUMMYFUNCTION("IMPORTRANGE(""https://docs.google.com/spreadsheets/d/1Yj_ptqi66GCucihVvJfMjLAmec39IyEx_6qawtMGysU/edit?usp=sharing"",""สบก!AK48"")"),0)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IFERROR(__xludf.DUMMYFUNCTION("IMPORTRANGE(""https://docs.google.com/spreadsheets/d/1Yj_ptqi66GCucihVvJfMjLAmec39IyEx_6qawtMGysU/edit?usp=sharing"",""สบก!AR48"")"),0)</f>
        <v>0</v>
      </c>
      <c r="N98" s="627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IFERROR(__xludf.DUMMYFUNCTION("IMPORTRANGE(""https://docs.google.com/spreadsheets/d/1Yj_ptqi66GCucihVvJfMjLAmec39IyEx_6qawtMGysU/edit?usp=sharing"",""สบก!AP48"")"),0)</f>
        <v>0</v>
      </c>
      <c r="M102" s="625"/>
      <c r="N102" s="622">
        <f ca="1">IFERROR(__xludf.DUMMYFUNCTION("IMPORTRANGE(""https://docs.google.com/spreadsheets/d/1Yj_ptqi66GCucihVvJfMjLAmec39IyEx_6qawtMGysU/edit?usp=sharing"",""สบก!AT48"")"),0)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IFERROR(__xludf.DUMMYFUNCTION("IMPORTRANGE(""https://docs.google.com/spreadsheets/d/1Yj_ptqi66GCucihVvJfMjLAmec39IyEx_6qawtMGysU/edit?usp=sharing"",""สบก!BA48"")"),0)</f>
        <v>0</v>
      </c>
      <c r="N122" s="627">
        <f ca="1">IFERROR(__xludf.DUMMYFUNCTION("IMPORTRANGE(""https://docs.google.com/spreadsheets/d/1Yj_ptqi66GCucihVvJfMjLAmec39IyEx_6qawtMGysU/edit?usp=sharing"",""สบก!BB48"")"),0)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IFERROR(__xludf.DUMMYFUNCTION("IMPORTRANGE(""https://docs.google.com/spreadsheets/d/1Yj_ptqi66GCucihVvJfMjLAmec39IyEx_6qawtMGysU/edit?usp=sharing"",""สบก!AY48"")"),0)</f>
        <v>0</v>
      </c>
      <c r="M126" s="625"/>
      <c r="N126" s="622">
        <f ca="1">IFERROR(__xludf.DUMMYFUNCTION("IMPORTRANGE(""https://docs.google.com/spreadsheets/d/1Yj_ptqi66GCucihVvJfMjLAmec39IyEx_6qawtMGysU/edit?usp=sharing"",""สบก!BC48"")"),0)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76100</v>
      </c>
      <c r="M140" s="152">
        <f t="shared" ca="1" si="64"/>
        <v>55625</v>
      </c>
      <c r="N140" s="152">
        <f t="shared" ca="1" si="64"/>
        <v>55625</v>
      </c>
      <c r="O140" s="151">
        <f t="shared" ref="O140:O142" ca="1" si="65">IF(L140&gt;0,N140*100/L140,0)</f>
        <v>73.094612352168198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76100</v>
      </c>
      <c r="M142" s="157">
        <f t="shared" ca="1" si="68"/>
        <v>55625</v>
      </c>
      <c r="N142" s="157">
        <f t="shared" ca="1" si="68"/>
        <v>55625</v>
      </c>
      <c r="O142" s="156">
        <f t="shared" ca="1" si="65"/>
        <v>73.094612352168198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76100</v>
      </c>
      <c r="M144" s="626">
        <f ca="1">IFERROR(__xludf.DUMMYFUNCTION("IMPORTRANGE(""https://docs.google.com/spreadsheets/d/1Yj_ptqi66GCucihVvJfMjLAmec39IyEx_6qawtMGysU/edit?usp=sharing"",""สบก!BJ48"")"),55625)</f>
        <v>55625</v>
      </c>
      <c r="N144" s="627">
        <f ca="1">IFERROR(__xludf.DUMMYFUNCTION("IMPORTRANGE(""https://docs.google.com/spreadsheets/d/1Yj_ptqi66GCucihVvJfMjLAmec39IyEx_6qawtMGysU/edit?usp=sharing"",""สบก!BK48"")"),55625)</f>
        <v>55625</v>
      </c>
      <c r="O144" s="169">
        <f ca="1">IF(L144&gt;0,N144*100/L144,0)</f>
        <v>73.094612352168198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IFERROR(__xludf.DUMMYFUNCTION("IMPORTRANGE(""https://docs.google.com/spreadsheets/d/1Yj_ptqi66GCucihVvJfMjLAmec39IyEx_6qawtMGysU/edit?usp=sharing"",""สบก!BG48"")"),76100)</f>
        <v>76100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IFERROR(__xludf.DUMMYFUNCTION("IMPORTRANGE(""https://docs.google.com/spreadsheets/d/1Yj_ptqi66GCucihVvJfMjLAmec39IyEx_6qawtMGysU/edit?usp=sharing"",""สบก!BH48"")"),0)</f>
        <v>0</v>
      </c>
      <c r="M148" s="625"/>
      <c r="N148" s="622">
        <f ca="1">IFERROR(__xludf.DUMMYFUNCTION("IMPORTRANGE(""https://docs.google.com/spreadsheets/d/1Yj_ptqi66GCucihVvJfMjLAmec39IyEx_6qawtMGysU/edit?usp=sharing"",""สบก!BL48"")"),0)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6">
        <f ca="1">IFERROR(__xludf.DUMMYFUNCTION("IMPORTRANGE(""https://docs.google.com/spreadsheets/d/1Yj_ptqi66GCucihVvJfMjLAmec39IyEx_6qawtMGysU/edit?usp=sharing"",""สบก!BS48"")"),16550)</f>
        <v>16550</v>
      </c>
      <c r="N224" s="627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IFERROR(__xludf.DUMMYFUNCTION("IMPORTRANGE(""https://docs.google.com/spreadsheets/d/1Yj_ptqi66GCucihVvJfMjLAmec39IyEx_6qawtMGysU/edit?usp=sharing"",""สบก!BQ48"")"),0)</f>
        <v>0</v>
      </c>
      <c r="M228" s="625"/>
      <c r="N228" s="622">
        <f ca="1">IFERROR(__xludf.DUMMYFUNCTION("IMPORTRANGE(""https://docs.google.com/spreadsheets/d/1Yj_ptqi66GCucihVvJfMjLAmec39IyEx_6qawtMGysU/edit?usp=sharing"",""สบก!BU48"")"),0)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IFERROR(__xludf.DUMMYFUNCTION("IMPORTRANGE(""https://docs.google.com/spreadsheets/d/1Yj_ptqi66GCucihVvJfMjLAmec39IyEx_6qawtMGysU/edit?usp=sharing"",""สบก!CB48"")"),0)</f>
        <v>0</v>
      </c>
      <c r="N254" s="627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IFERROR(__xludf.DUMMYFUNCTION("IMPORTRANGE(""https://docs.google.com/spreadsheets/d/1Yj_ptqi66GCucihVvJfMjLAmec39IyEx_6qawtMGysU/edit?usp=sharing"",""สบก!BZ48"")"),0)</f>
        <v>0</v>
      </c>
      <c r="M258" s="625"/>
      <c r="N258" s="622">
        <f ca="1">IFERROR(__xludf.DUMMYFUNCTION("IMPORTRANGE(""https://docs.google.com/spreadsheets/d/1Yj_ptqi66GCucihVvJfMjLAmec39IyEx_6qawtMGysU/edit?usp=sharing"",""สบก!CD48"")"),0)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IFERROR(__xludf.DUMMYFUNCTION("IMPORTRANGE(""https://docs.google.com/spreadsheets/d/1Yj_ptqi66GCucihVvJfMjLAmec39IyEx_6qawtMGysU/edit?usp=sharing"",""สบก!CK48"")"),32250)</f>
        <v>32250</v>
      </c>
      <c r="N275" s="627">
        <f ca="1">IFERROR(__xludf.DUMMYFUNCTION("IMPORTRANGE(""https://docs.google.com/spreadsheets/d/1Yj_ptqi66GCucihVvJfMjLAmec39IyEx_6qawtMGysU/edit?usp=sharing"",""สบก!CL48"")"),32250)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IFERROR(__xludf.DUMMYFUNCTION("IMPORTRANGE(""https://docs.google.com/spreadsheets/d/1Yj_ptqi66GCucihVvJfMjLAmec39IyEx_6qawtMGysU/edit?usp=sharing"",""สบก!CI48"")"),0)</f>
        <v>0</v>
      </c>
      <c r="M279" s="625"/>
      <c r="N279" s="622">
        <f ca="1">IFERROR(__xludf.DUMMYFUNCTION("IMPORTRANGE(""https://docs.google.com/spreadsheets/d/1Yj_ptqi66GCucihVvJfMjLAmec39IyEx_6qawtMGysU/edit?usp=sharing"",""สบก!CM48"")"),0)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IFERROR(__xludf.DUMMYFUNCTION("IMPORTRANGE(""https://docs.google.com/spreadsheets/d/1Yj_ptqi66GCucihVvJfMjLAmec39IyEx_6qawtMGysU/edit?usp=sharing"",""สบก!CT48"")"),0)</f>
        <v>0</v>
      </c>
      <c r="N294" s="627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IFERROR(__xludf.DUMMYFUNCTION("IMPORTRANGE(""https://docs.google.com/spreadsheets/d/1Yj_ptqi66GCucihVvJfMjLAmec39IyEx_6qawtMGysU/edit?usp=sharing"",""สบก!CR48"")"),0)</f>
        <v>0</v>
      </c>
      <c r="M298" s="625"/>
      <c r="N298" s="622">
        <f ca="1">IFERROR(__xludf.DUMMYFUNCTION("IMPORTRANGE(""https://docs.google.com/spreadsheets/d/1Yj_ptqi66GCucihVvJfMjLAmec39IyEx_6qawtMGysU/edit?usp=sharing"",""สบก!CV48"")"),0)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IFERROR(__xludf.DUMMYFUNCTION("IMPORTRANGE(""https://docs.google.com/spreadsheets/d/1Yj_ptqi66GCucihVvJfMjLAmec39IyEx_6qawtMGysU/edit?usp=sharing"",""สบก!DC48"")"),0)</f>
        <v>0</v>
      </c>
      <c r="N314" s="627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IFERROR(__xludf.DUMMYFUNCTION("IMPORTRANGE(""https://docs.google.com/spreadsheets/d/1Yj_ptqi66GCucihVvJfMjLAmec39IyEx_6qawtMGysU/edit?usp=sharing"",""สบก!DA48"")"),0)</f>
        <v>0</v>
      </c>
      <c r="M318" s="625"/>
      <c r="N318" s="622">
        <f ca="1">IFERROR(__xludf.DUMMYFUNCTION("IMPORTRANGE(""https://docs.google.com/spreadsheets/d/1Yj_ptqi66GCucihVvJfMjLAmec39IyEx_6qawtMGysU/edit?usp=sharing"",""สบก!DE48"")"),0)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IFERROR(__xludf.DUMMYFUNCTION("IMPORTRANGE(""https://docs.google.com/spreadsheets/d/1XL5vhW3sbDhbH9Cz0tuDiY8C3ctxq1tqvaCgkFb8cCA/edit?usp=sharing"",""ร้อยเอ็ด!J228"")"),723)</f>
        <v>723</v>
      </c>
      <c r="K328" s="318">
        <f ca="1">IF(I328&gt;0,J328*100/I328,0)</f>
        <v>65.727272727272734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1333440</v>
      </c>
      <c r="M329" s="152">
        <f t="shared" ca="1" si="98"/>
        <v>1193300</v>
      </c>
      <c r="N329" s="152">
        <f t="shared" ca="1" si="98"/>
        <v>1091902.3599999999</v>
      </c>
      <c r="O329" s="151">
        <f t="shared" ref="O329:O331" ca="1" si="99">IF(L329&gt;0,N329*100/L329,0)</f>
        <v>81.886126109911203</v>
      </c>
      <c r="P329" s="151">
        <f t="shared" ref="P329:P331" ca="1" si="100">IF(M329&gt;0,N329*100/M329,0)</f>
        <v>91.502753708204125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1333440</v>
      </c>
      <c r="M331" s="157">
        <f t="shared" ca="1" si="102"/>
        <v>1193300</v>
      </c>
      <c r="N331" s="157">
        <f t="shared" ca="1" si="102"/>
        <v>1091902.3599999999</v>
      </c>
      <c r="O331" s="156">
        <f t="shared" ca="1" si="99"/>
        <v>81.886126109911203</v>
      </c>
      <c r="P331" s="156">
        <f t="shared" ca="1" si="100"/>
        <v>91.502753708204125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6">
        <f ca="1">IFERROR(__xludf.DUMMYFUNCTION("IMPORTRANGE(""https://docs.google.com/spreadsheets/d/1Yj_ptqi66GCucihVvJfMjLAmec39IyEx_6qawtMGysU/edit?usp=sharing"",""สบก!DL48"")"),1009300)</f>
        <v>1009300</v>
      </c>
      <c r="N333" s="627">
        <f ca="1">IFERROR(__xludf.DUMMYFUNCTION("IMPORTRANGE(""https://docs.google.com/spreadsheets/d/1Yj_ptqi66GCucihVvJfMjLAmec39IyEx_6qawtMGysU/edit?usp=sharing"",""สบก!DM48"")"),907902.36)</f>
        <v>907902.36</v>
      </c>
      <c r="O333" s="169">
        <f ca="1">IF(L333&gt;0,N333*100/L333,0)</f>
        <v>78.986494292873047</v>
      </c>
      <c r="P333" s="169">
        <f ca="1">IF(M333&gt;0,N333*100/M333,0)</f>
        <v>89.953666897849999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IFERROR(__xludf.DUMMYFUNCTION("IMPORTRANGE(""https://docs.google.com/spreadsheets/d/1Yj_ptqi66GCucihVvJfMjLAmec39IyEx_6qawtMGysU/edit?usp=sharing"",""สบก!DJ48"")"),184000)</f>
        <v>184000</v>
      </c>
      <c r="M337" s="625">
        <f ca="1">L337</f>
        <v>184000</v>
      </c>
      <c r="N337" s="622">
        <f ca="1">IFERROR(__xludf.DUMMYFUNCTION("IMPORTRANGE(""https://docs.google.com/spreadsheets/d/1Yj_ptqi66GCucihVvJfMjLAmec39IyEx_6qawtMGysU/edit?usp=sharing"",""สบก!DN48"")"),184000)</f>
        <v>184000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IFERROR(__xludf.DUMMYFUNCTION("IMPORTRANGE(""https://docs.google.com/spreadsheets/d/1XL5vhW3sbDhbH9Cz0tuDiY8C3ctxq1tqvaCgkFb8cCA/edit?usp=sharing"",""ร้อยเอ็ด!J234"")"),433)</f>
        <v>433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IFERROR(__xludf.DUMMYFUNCTION("IMPORTRANGE(""https://docs.google.com/spreadsheets/d/1XL5vhW3sbDhbH9Cz0tuDiY8C3ctxq1tqvaCgkFb8cCA/edit?usp=sharing"",""ร้อยเอ็ด!J235"")"),3355.19)</f>
        <v>3355.19</v>
      </c>
      <c r="K340" s="343">
        <f t="shared" ca="1" si="103"/>
        <v>52.424843750000001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IFERROR(__xludf.DUMMYFUNCTION("IMPORTRANGE(""https://docs.google.com/spreadsheets/d/1XL5vhW3sbDhbH9Cz0tuDiY8C3ctxq1tqvaCgkFb8cCA/edit?usp=sharing"",""ร้อยเอ็ด!J236"")"),1105)</f>
        <v>1105</v>
      </c>
      <c r="K341" s="343">
        <f t="shared" ca="1" si="103"/>
        <v>100.45454545454545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IFERROR(__xludf.DUMMYFUNCTION("IMPORTRANGE(""https://docs.google.com/spreadsheets/d/1XL5vhW3sbDhbH9Cz0tuDiY8C3ctxq1tqvaCgkFb8cCA/edit?usp=sharing"",""ร้อยเอ็ด!J237"")"),10983.27)</f>
        <v>10983.27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IFERROR(__xludf.DUMMYFUNCTION("IMPORTRANGE(""https://docs.google.com/spreadsheets/d/1XL5vhW3sbDhbH9Cz0tuDiY8C3ctxq1tqvaCgkFb8cCA/edit?usp=sharing"",""ร้อยเอ็ด!J240"")"),723)</f>
        <v>723</v>
      </c>
      <c r="K345" s="343">
        <f t="shared" ca="1" si="103"/>
        <v>65.727272727272734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IFERROR(__xludf.DUMMYFUNCTION("IMPORTRANGE(""https://docs.google.com/spreadsheets/d/1XL5vhW3sbDhbH9Cz0tuDiY8C3ctxq1tqvaCgkFb8cCA/edit?usp=sharing"",""ร้อยเอ็ด!J241"")"),6981.31)</f>
        <v>6981.31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IFERROR(__xludf.DUMMYFUNCTION("IMPORTRANGE(""https://docs.google.com/spreadsheets/d/1XL5vhW3sbDhbH9Cz0tuDiY8C3ctxq1tqvaCgkFb8cCA/edit?usp=sharing"",""ร้อยเอ็ด!L242"")"),2874453)</f>
        <v>2874453</v>
      </c>
      <c r="M347" s="358"/>
      <c r="N347" s="358">
        <f ca="1">IFERROR(__xludf.DUMMYFUNCTION("IMPORTRANGE(""https://docs.google.com/spreadsheets/d/1XL5vhW3sbDhbH9Cz0tuDiY8C3ctxq1tqvaCgkFb8cCA/edit?usp=sharing"",""ร้อยเอ็ด!M242"")"),1805432.08)</f>
        <v>1805432.08</v>
      </c>
      <c r="O347" s="358">
        <f ca="1">+IF(L347&gt;0,N347*100/L347,0)</f>
        <v>62.809587772003923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IFERROR(__xludf.DUMMYFUNCTION("IMPORTRANGE(""https://docs.google.com/spreadsheets/d/1XL5vhW3sbDhbH9Cz0tuDiY8C3ctxq1tqvaCgkFb8cCA/edit?usp=sharing"",""ร้อยเอ็ด!M244"")"),592294.54)</f>
        <v>592294.54</v>
      </c>
      <c r="O349" s="373">
        <f ca="1">+IF(L349&gt;0,N349*100/L349,0)</f>
        <v>91.852820123133228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IFERROR(__xludf.DUMMYFUNCTION("IMPORTRANGE(""https://docs.google.com/spreadsheets/d/1XL5vhW3sbDhbH9Cz0tuDiY8C3ctxq1tqvaCgkFb8cCA/edit?usp=sharing"",""ร้อยเอ็ด!M247"")"),592294.54)</f>
        <v>592294.54</v>
      </c>
      <c r="O352" s="165">
        <f t="shared" ca="1" si="105"/>
        <v>91.852820123133228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IFERROR(__xludf.DUMMYFUNCTION("IMPORTRANGE(""https://docs.google.com/spreadsheets/d/1XL5vhW3sbDhbH9Cz0tuDiY8C3ctxq1tqvaCgkFb8cCA/edit?usp=sharing"",""ร้อยเอ็ด!M249"")"),592294.54)</f>
        <v>592294.54</v>
      </c>
      <c r="O354" s="169">
        <f t="shared" ca="1" si="105"/>
        <v>91.852820123133228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IFERROR(__xludf.DUMMYFUNCTION("IMPORTRANGE(""https://docs.google.com/spreadsheets/d/1XL5vhW3sbDhbH9Cz0tuDiY8C3ctxq1tqvaCgkFb8cCA/edit?usp=sharing"",""ร้อยเอ็ด!M250"")"),103880)</f>
        <v>103880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IFERROR(__xludf.DUMMYFUNCTION("IMPORTRANGE(""https://docs.google.com/spreadsheets/d/1XL5vhW3sbDhbH9Cz0tuDiY8C3ctxq1tqvaCgkFb8cCA/edit?usp=sharing"",""ร้อยเอ็ด!M252"")"),82653.54)</f>
        <v>82653.539999999994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IFERROR(__xludf.DUMMYFUNCTION("IMPORTRANGE(""https://docs.google.com/spreadsheets/d/1XL5vhW3sbDhbH9Cz0tuDiY8C3ctxq1tqvaCgkFb8cCA/edit?usp=sharing"",""ร้อยเอ็ด!M253"")"),54661)</f>
        <v>54661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IFERROR(__xludf.DUMMYFUNCTION("IMPORTRANGE(""https://docs.google.com/spreadsheets/d/1XL5vhW3sbDhbH9Cz0tuDiY8C3ctxq1tqvaCgkFb8cCA/edit?usp=sharing"",""ร้อยเอ็ด!M275"")"),324791.64)</f>
        <v>324791.64</v>
      </c>
      <c r="O380" s="373">
        <f ca="1">+IF(L380&gt;0,N380*100/L380,0)</f>
        <v>31.57854392719636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IFERROR(__xludf.DUMMYFUNCTION("IMPORTRANGE(""https://docs.google.com/spreadsheets/d/1XL5vhW3sbDhbH9Cz0tuDiY8C3ctxq1tqvaCgkFb8cCA/edit?usp=sharing"",""ร้อยเอ็ด!M278"")"),324791.64)</f>
        <v>324791.64</v>
      </c>
      <c r="O383" s="165">
        <f t="shared" ca="1" si="109"/>
        <v>31.57854392719636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IFERROR(__xludf.DUMMYFUNCTION("IMPORTRANGE(""https://docs.google.com/spreadsheets/d/1XL5vhW3sbDhbH9Cz0tuDiY8C3ctxq1tqvaCgkFb8cCA/edit?usp=sharing"",""ร้อยเอ็ด!M280"")"),324791.64)</f>
        <v>324791.64</v>
      </c>
      <c r="O385" s="169">
        <f t="shared" ca="1" si="109"/>
        <v>31.57854392719636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IFERROR(__xludf.DUMMYFUNCTION("IMPORTRANGE(""https://docs.google.com/spreadsheets/d/1XL5vhW3sbDhbH9Cz0tuDiY8C3ctxq1tqvaCgkFb8cCA/edit?usp=sharing"",""ร้อยเอ็ด!M283"")"),78824.64)</f>
        <v>78824.639999999999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IFERROR(__xludf.DUMMYFUNCTION("IMPORTRANGE(""https://docs.google.com/spreadsheets/d/1XL5vhW3sbDhbH9Cz0tuDiY8C3ctxq1tqvaCgkFb8cCA/edit?usp=sharing"",""ร้อยเอ็ด!M330"")"),86265)</f>
        <v>86265</v>
      </c>
      <c r="O435" s="412">
        <f t="shared" ref="O435:O439" ca="1" si="114">+IF(L435&gt;0,N435*100/L435,0)</f>
        <v>98.028409090909093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IFERROR(__xludf.DUMMYFUNCTION("IMPORTRANGE(""https://docs.google.com/spreadsheets/d/1XL5vhW3sbDhbH9Cz0tuDiY8C3ctxq1tqvaCgkFb8cCA/edit?usp=sharing"",""ร้อยเอ็ด!M332"")"),86265)</f>
        <v>86265</v>
      </c>
      <c r="O437" s="169">
        <f t="shared" ca="1" si="114"/>
        <v>98.028409090909093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IFERROR(__xludf.DUMMYFUNCTION("IMPORTRANGE(""https://docs.google.com/spreadsheets/d/1XL5vhW3sbDhbH9Cz0tuDiY8C3ctxq1tqvaCgkFb8cCA/edit?usp=sharing"",""ร้อยเอ็ด!M334"")"),86265)</f>
        <v>86265</v>
      </c>
      <c r="O439" s="169">
        <f t="shared" ca="1" si="114"/>
        <v>98.028409090909093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IFERROR(__xludf.DUMMYFUNCTION("IMPORTRANGE(""https://docs.google.com/spreadsheets/d/1XL5vhW3sbDhbH9Cz0tuDiY8C3ctxq1tqvaCgkFb8cCA/edit?usp=sharing"",""ร้อยเอ็ด!M335"")"),85775)</f>
        <v>85775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IFERROR(__xludf.DUMMYFUNCTION("IMPORTRANGE(""https://docs.google.com/spreadsheets/d/1XL5vhW3sbDhbH9Cz0tuDiY8C3ctxq1tqvaCgkFb8cCA/edit?usp=sharing"",""ร้อยเอ็ด!M338"")"),490)</f>
        <v>490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IFERROR(__xludf.DUMMYFUNCTION("IMPORTRANGE(""https://docs.google.com/spreadsheets/d/1XL5vhW3sbDhbH9Cz0tuDiY8C3ctxq1tqvaCgkFb8cCA/edit?usp=sharing"",""ร้อยเอ็ด!L350"")"),455353)</f>
        <v>455353</v>
      </c>
      <c r="M455" s="373"/>
      <c r="N455" s="373">
        <f ca="1">IFERROR(__xludf.DUMMYFUNCTION("IMPORTRANGE(""https://docs.google.com/spreadsheets/d/1XL5vhW3sbDhbH9Cz0tuDiY8C3ctxq1tqvaCgkFb8cCA/edit?usp=sharing"",""ร้อยเอ็ด!M350"")"),299285.5)</f>
        <v>299285.5</v>
      </c>
      <c r="O455" s="373">
        <f t="shared" ref="O455:O459" ca="1" si="116">+IF(L455&gt;0,N455*100/L455,0)</f>
        <v>65.726041115354462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IFERROR(__xludf.DUMMYFUNCTION("IMPORTRANGE(""https://docs.google.com/spreadsheets/d/1XL5vhW3sbDhbH9Cz0tuDiY8C3ctxq1tqvaCgkFb8cCA/edit?usp=sharing"",""ร้อยเอ็ด!L352"")"),455353)</f>
        <v>455353</v>
      </c>
      <c r="M457" s="165"/>
      <c r="N457" s="169">
        <f ca="1">IFERROR(__xludf.DUMMYFUNCTION("IMPORTRANGE(""https://docs.google.com/spreadsheets/d/1XL5vhW3sbDhbH9Cz0tuDiY8C3ctxq1tqvaCgkFb8cCA/edit?usp=sharing"",""ร้อยเอ็ด!M352"")"),299285.5)</f>
        <v>299285.5</v>
      </c>
      <c r="O457" s="169">
        <f t="shared" ca="1" si="116"/>
        <v>65.726041115354462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IFERROR(__xludf.DUMMYFUNCTION("IMPORTRANGE(""https://docs.google.com/spreadsheets/d/1XL5vhW3sbDhbH9Cz0tuDiY8C3ctxq1tqvaCgkFb8cCA/edit?usp=sharing"",""ร้อยเอ็ด!L354"")"),455353)</f>
        <v>455353</v>
      </c>
      <c r="M459" s="169"/>
      <c r="N459" s="169">
        <f ca="1">IFERROR(__xludf.DUMMYFUNCTION("IMPORTRANGE(""https://docs.google.com/spreadsheets/d/1XL5vhW3sbDhbH9Cz0tuDiY8C3ctxq1tqvaCgkFb8cCA/edit?usp=sharing"",""ร้อยเอ็ด!M354"")"),299285.5)</f>
        <v>299285.5</v>
      </c>
      <c r="O459" s="169">
        <f t="shared" ca="1" si="116"/>
        <v>65.726041115354462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IFERROR(__xludf.DUMMYFUNCTION("IMPORTRANGE(""https://docs.google.com/spreadsheets/d/1XL5vhW3sbDhbH9Cz0tuDiY8C3ctxq1tqvaCgkFb8cCA/edit?usp=sharing"",""ร้อยเอ็ด!M357"")"),80079.5)</f>
        <v>80079.5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IFERROR(__xludf.DUMMYFUNCTION("IMPORTRANGE(""https://docs.google.com/spreadsheets/d/1XL5vhW3sbDhbH9Cz0tuDiY8C3ctxq1tqvaCgkFb8cCA/edit?usp=sharing"",""ร้อยเอ็ด!M358"")"),219206)</f>
        <v>219206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IFERROR(__xludf.DUMMYFUNCTION("IMPORTRANGE(""https://docs.google.com/spreadsheets/d/1XL5vhW3sbDhbH9Cz0tuDiY8C3ctxq1tqvaCgkFb8cCA/edit?usp=sharing"",""ร้อยเอ็ด!J378"")"),42663)</f>
        <v>42663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IFERROR(__xludf.DUMMYFUNCTION("IMPORTRANGE(""https://docs.google.com/spreadsheets/d/1XL5vhW3sbDhbH9Cz0tuDiY8C3ctxq1tqvaCgkFb8cCA/edit?usp=sharing"",""ร้อยเอ็ด!J379"")"),4471)</f>
        <v>4471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IFERROR(__xludf.DUMMYFUNCTION("IMPORTRANGE(""https://docs.google.com/spreadsheets/d/1XL5vhW3sbDhbH9Cz0tuDiY8C3ctxq1tqvaCgkFb8cCA/edit?usp=sharing"",""ร้อยเอ็ด!J380"")"),204)</f>
        <v>204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IFERROR(__xludf.DUMMYFUNCTION("IMPORTRANGE(""https://docs.google.com/spreadsheets/d/1XL5vhW3sbDhbH9Cz0tuDiY8C3ctxq1tqvaCgkFb8cCA/edit?usp=sharing"",""ร้อยเอ็ด!J381"")"),46)</f>
        <v>46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IFERROR(__xludf.DUMMYFUNCTION("IMPORTRANGE(""https://docs.google.com/spreadsheets/d/1XL5vhW3sbDhbH9Cz0tuDiY8C3ctxq1tqvaCgkFb8cCA/edit?usp=sharing"",""ร้อยเอ็ด!J382"")"),1015)</f>
        <v>1015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IFERROR(__xludf.DUMMYFUNCTION("IMPORTRANGE(""https://docs.google.com/spreadsheets/d/1XL5vhW3sbDhbH9Cz0tuDiY8C3ctxq1tqvaCgkFb8cCA/edit?usp=sharing"",""ร้อยเอ็ด!J383"")"),67)</f>
        <v>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IFERROR(__xludf.DUMMYFUNCTION("IMPORTRANGE(""https://docs.google.com/spreadsheets/d/1XL5vhW3sbDhbH9Cz0tuDiY8C3ctxq1tqvaCgkFb8cCA/edit?usp=sharing"",""ร้อยเอ็ด!J384"")"),962)</f>
        <v>962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IFERROR(__xludf.DUMMYFUNCTION("IMPORTRANGE(""https://docs.google.com/spreadsheets/d/1XL5vhW3sbDhbH9Cz0tuDiY8C3ctxq1tqvaCgkFb8cCA/edit?usp=sharing"",""ร้อยเอ็ด!J385"")"),64)</f>
        <v>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IFERROR(__xludf.DUMMYFUNCTION("IMPORTRANGE(""https://docs.google.com/spreadsheets/d/1XL5vhW3sbDhbH9Cz0tuDiY8C3ctxq1tqvaCgkFb8cCA/edit?usp=sharing"",""ร้อยเอ็ด!J386"")"),53)</f>
        <v>53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IFERROR(__xludf.DUMMYFUNCTION("IMPORTRANGE(""https://docs.google.com/spreadsheets/d/1XL5vhW3sbDhbH9Cz0tuDiY8C3ctxq1tqvaCgkFb8cCA/edit?usp=sharing"",""ร้อยเอ็ด!J388"")"),6155)</f>
        <v>6155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IFERROR(__xludf.DUMMYFUNCTION("IMPORTRANGE(""https://docs.google.com/spreadsheets/d/1XL5vhW3sbDhbH9Cz0tuDiY8C3ctxq1tqvaCgkFb8cCA/edit?usp=sharing"",""ร้อยเอ็ด!J389"")"),560)</f>
        <v>560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IFERROR(__xludf.DUMMYFUNCTION("IMPORTRANGE(""https://docs.google.com/spreadsheets/d/1XL5vhW3sbDhbH9Cz0tuDiY8C3ctxq1tqvaCgkFb8cCA/edit?usp=sharing"",""ร้อยเอ็ด!I420"")"),0)</f>
        <v>0</v>
      </c>
      <c r="J525" s="285">
        <f ca="1">IFERROR(__xludf.DUMMYFUNCTION("IMPORTRANGE(""https://docs.google.com/spreadsheets/d/1XL5vhW3sbDhbH9Cz0tuDiY8C3ctxq1tqvaCgkFb8cCA/edit?usp=sharing"",""ร้อยเอ็ด!J420"")"),0)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IFERROR(__xludf.DUMMYFUNCTION("IMPORTRANGE(""https://docs.google.com/spreadsheets/d/1XL5vhW3sbDhbH9Cz0tuDiY8C3ctxq1tqvaCgkFb8cCA/edit?usp=sharing"",""ร้อยเอ็ด!I421"")"),0)</f>
        <v>0</v>
      </c>
      <c r="J526" s="285">
        <f ca="1">IFERROR(__xludf.DUMMYFUNCTION("IMPORTRANGE(""https://docs.google.com/spreadsheets/d/1XL5vhW3sbDhbH9Cz0tuDiY8C3ctxq1tqvaCgkFb8cCA/edit?usp=sharing"",""ร้อยเอ็ด!J421"")"),0)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IFERROR(__xludf.DUMMYFUNCTION("IMPORTRANGE(""https://docs.google.com/spreadsheets/d/1XL5vhW3sbDhbH9Cz0tuDiY8C3ctxq1tqvaCgkFb8cCA/edit?usp=sharing"",""ร้อยเอ็ด!J459"")"),11939)</f>
        <v>11939</v>
      </c>
      <c r="K564" s="372">
        <f ca="1">IF(I564&gt;0,J564*100/I564,0)</f>
        <v>426.39285714285717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IFERROR(__xludf.DUMMYFUNCTION("IMPORTRANGE(""https://docs.google.com/spreadsheets/d/1XL5vhW3sbDhbH9Cz0tuDiY8C3ctxq1tqvaCgkFb8cCA/edit?usp=sharing"",""ร้อยเอ็ด!M459"")"),128846.48)</f>
        <v>128846.48</v>
      </c>
      <c r="O564" s="373">
        <f t="shared" ref="O564:O568" ca="1" si="122">+IF(L564&gt;0,N564*100/L564,0)</f>
        <v>90.077237136465328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IFERROR(__xludf.DUMMYFUNCTION("IMPORTRANGE(""https://docs.google.com/spreadsheets/d/1XL5vhW3sbDhbH9Cz0tuDiY8C3ctxq1tqvaCgkFb8cCA/edit?usp=sharing"",""ร้อยเอ็ด!M461"")"),128846.48)</f>
        <v>128846.48</v>
      </c>
      <c r="O566" s="169">
        <f t="shared" ca="1" si="122"/>
        <v>90.077237136465328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IFERROR(__xludf.DUMMYFUNCTION("IMPORTRANGE(""https://docs.google.com/spreadsheets/d/1XL5vhW3sbDhbH9Cz0tuDiY8C3ctxq1tqvaCgkFb8cCA/edit?usp=sharing"",""ร้อยเอ็ด!M463"")"),128846.48)</f>
        <v>128846.48</v>
      </c>
      <c r="O568" s="169">
        <f t="shared" ca="1" si="122"/>
        <v>90.077237136465328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IFERROR(__xludf.DUMMYFUNCTION("IMPORTRANGE(""https://docs.google.com/spreadsheets/d/1XL5vhW3sbDhbH9Cz0tuDiY8C3ctxq1tqvaCgkFb8cCA/edit?usp=sharing"",""ร้อยเอ็ด!M466"")"),73806.48)</f>
        <v>73806.48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IFERROR(__xludf.DUMMYFUNCTION("IMPORTRANGE(""https://docs.google.com/spreadsheets/d/1XL5vhW3sbDhbH9Cz0tuDiY8C3ctxq1tqvaCgkFb8cCA/edit?usp=sharing"",""ร้อยเอ็ด!M467"")"),55040)</f>
        <v>55040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IFERROR(__xludf.DUMMYFUNCTION("IMPORTRANGE(""https://docs.google.com/spreadsheets/d/1XL5vhW3sbDhbH9Cz0tuDiY8C3ctxq1tqvaCgkFb8cCA/edit?usp=sharing"",""ร้อยเอ็ด!J468"")"),11939)</f>
        <v>11939</v>
      </c>
      <c r="K573" s="202">
        <f ca="1">IF(I573&gt;0,J573*100/I573,0)</f>
        <v>426.39285714285717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IFERROR(__xludf.DUMMYFUNCTION("IMPORTRANGE(""https://docs.google.com/spreadsheets/d/1XL5vhW3sbDhbH9Cz0tuDiY8C3ctxq1tqvaCgkFb8cCA/edit?usp=sharing"",""ร้อยเอ็ด!J472"")"),11732)</f>
        <v>11732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IFERROR(__xludf.DUMMYFUNCTION("IMPORTRANGE(""https://docs.google.com/spreadsheets/d/1XL5vhW3sbDhbH9Cz0tuDiY8C3ctxq1tqvaCgkFb8cCA/edit?usp=sharing"",""ร้อยเอ็ด!J475"")"),83)</f>
        <v>83</v>
      </c>
      <c r="K580" s="372">
        <f ca="1">IF(I580&gt;0,J580*100/I580,0)</f>
        <v>69.166666666666671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IFERROR(__xludf.DUMMYFUNCTION("IMPORTRANGE(""https://docs.google.com/spreadsheets/d/1XL5vhW3sbDhbH9Cz0tuDiY8C3ctxq1tqvaCgkFb8cCA/edit?usp=sharing"",""ร้อยเอ็ด!M475"")"),162158.92)</f>
        <v>162158.92000000001</v>
      </c>
      <c r="O580" s="373">
        <f t="shared" ref="O580:O584" ca="1" si="124">+IF(L580&gt;0,N580*100/L580,0)</f>
        <v>54.521861340864774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IFERROR(__xludf.DUMMYFUNCTION("IMPORTRANGE(""https://docs.google.com/spreadsheets/d/1XL5vhW3sbDhbH9Cz0tuDiY8C3ctxq1tqvaCgkFb8cCA/edit?usp=sharing"",""ร้อยเอ็ด!M477"")"),162158.92)</f>
        <v>162158.92000000001</v>
      </c>
      <c r="O582" s="169">
        <f t="shared" ca="1" si="124"/>
        <v>54.521861340864774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IFERROR(__xludf.DUMMYFUNCTION("IMPORTRANGE(""https://docs.google.com/spreadsheets/d/1XL5vhW3sbDhbH9Cz0tuDiY8C3ctxq1tqvaCgkFb8cCA/edit?usp=sharing"",""ร้อยเอ็ด!M479"")"),162158.92)</f>
        <v>162158.92000000001</v>
      </c>
      <c r="O584" s="169">
        <f t="shared" ca="1" si="124"/>
        <v>54.521861340864774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IFERROR(__xludf.DUMMYFUNCTION("IMPORTRANGE(""https://docs.google.com/spreadsheets/d/1XL5vhW3sbDhbH9Cz0tuDiY8C3ctxq1tqvaCgkFb8cCA/edit?usp=sharing"",""ร้อยเอ็ด!M482"")"),52480.4)</f>
        <v>52480.4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IFERROR(__xludf.DUMMYFUNCTION("IMPORTRANGE(""https://docs.google.com/spreadsheets/d/1XL5vhW3sbDhbH9Cz0tuDiY8C3ctxq1tqvaCgkFb8cCA/edit?usp=sharing"",""ร้อยเอ็ด!M483"")"),109678.52)</f>
        <v>109678.52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IFERROR(__xludf.DUMMYFUNCTION("IMPORTRANGE(""https://docs.google.com/spreadsheets/d/1XL5vhW3sbDhbH9Cz0tuDiY8C3ctxq1tqvaCgkFb8cCA/edit?usp=sharing"",""ร้อยเอ็ด!J484"")"),145)</f>
        <v>145</v>
      </c>
      <c r="K589" s="163">
        <f t="shared" ref="K589:K596" ca="1" si="125">IF(I589&gt;0,J589*100/I589,0)</f>
        <v>120.83333333333333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IFERROR(__xludf.DUMMYFUNCTION("IMPORTRANGE(""https://docs.google.com/spreadsheets/d/1XL5vhW3sbDhbH9Cz0tuDiY8C3ctxq1tqvaCgkFb8cCA/edit?usp=sharing"",""ร้อยเอ็ด!J485"")"),76.84)</f>
        <v>76.84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IFERROR(__xludf.DUMMYFUNCTION("IMPORTRANGE(""https://docs.google.com/spreadsheets/d/1XL5vhW3sbDhbH9Cz0tuDiY8C3ctxq1tqvaCgkFb8cCA/edit?usp=sharing"",""ร้อยเอ็ด!J486"")"),123)</f>
        <v>123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IFERROR(__xludf.DUMMYFUNCTION("IMPORTRANGE(""https://docs.google.com/spreadsheets/d/1XL5vhW3sbDhbH9Cz0tuDiY8C3ctxq1tqvaCgkFb8cCA/edit?usp=sharing"",""ร้อยเอ็ด!J487"")"),73.21)</f>
        <v>73.209999999999994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IFERROR(__xludf.DUMMYFUNCTION("IMPORTRANGE(""https://docs.google.com/spreadsheets/d/1XL5vhW3sbDhbH9Cz0tuDiY8C3ctxq1tqvaCgkFb8cCA/edit?usp=sharing"",""ร้อยเอ็ด!J488"")"),82)</f>
        <v>82</v>
      </c>
      <c r="K593" s="163">
        <f t="shared" ca="1" si="125"/>
        <v>68.333333333333329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IFERROR(__xludf.DUMMYFUNCTION("IMPORTRANGE(""https://docs.google.com/spreadsheets/d/1XL5vhW3sbDhbH9Cz0tuDiY8C3ctxq1tqvaCgkFb8cCA/edit?usp=sharing"",""ร้อยเอ็ด!J489"")"),48.23)</f>
        <v>48.23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IFERROR(__xludf.DUMMYFUNCTION("IMPORTRANGE(""https://docs.google.com/spreadsheets/d/1XL5vhW3sbDhbH9Cz0tuDiY8C3ctxq1tqvaCgkFb8cCA/edit?usp=sharing"",""ร้อยเอ็ด!J490"")"),83)</f>
        <v>83</v>
      </c>
      <c r="K595" s="163">
        <f t="shared" ca="1" si="125"/>
        <v>69.166666666666671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IFERROR(__xludf.DUMMYFUNCTION("IMPORTRANGE(""https://docs.google.com/spreadsheets/d/1XL5vhW3sbDhbH9Cz0tuDiY8C3ctxq1tqvaCgkFb8cCA/edit?usp=sharing"",""ร้อยเอ็ด!J491"")"),50.45)</f>
        <v>50.45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IFERROR(__xludf.DUMMYFUNCTION("IMPORTRANGE(""https://docs.google.com/spreadsheets/d/1XL5vhW3sbDhbH9Cz0tuDiY8C3ctxq1tqvaCgkFb8cCA/edit?usp=sharing"",""ร้อยเอ็ด!L494"")"),7300)</f>
        <v>7300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IFERROR(__xludf.DUMMYFUNCTION("IMPORTRANGE(""https://docs.google.com/spreadsheets/d/1XL5vhW3sbDhbH9Cz0tuDiY8C3ctxq1tqvaCgkFb8cCA/edit?usp=sharing"",""ร้อยเอ็ด!L496"")"),7300)</f>
        <v>7300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IFERROR(__xludf.DUMMYFUNCTION("IMPORTRANGE(""https://docs.google.com/spreadsheets/d/1XL5vhW3sbDhbH9Cz0tuDiY8C3ctxq1tqvaCgkFb8cCA/edit?usp=sharing"",""ร้อยเอ็ด!J166"")"),0)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IFERROR(__xludf.DUMMYFUNCTION("IMPORTRANGE(""https://docs.google.com/spreadsheets/d/1XL5vhW3sbDhbH9Cz0tuDiY8C3ctxq1tqvaCgkFb8cCA/edit?usp=sharing"",""ร้อยเอ็ด!J166"")"),0)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IFERROR(__xludf.DUMMYFUNCTION("IMPORTRANGE(""https://docs.google.com/spreadsheets/d/1XL5vhW3sbDhbH9Cz0tuDiY8C3ctxq1tqvaCgkFb8cCA/edit?usp=sharing"",""ร้อยเอ็ด!J523"")"),4103933.67)</f>
        <v>4103933.67</v>
      </c>
      <c r="K628" s="343">
        <f t="shared" ref="K628:K635" ca="1" si="129">IF(I628&gt;0,J628*100/I628,0)</f>
        <v>68.864125265412028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IFERROR(__xludf.DUMMYFUNCTION("IMPORTRANGE(""https://docs.google.com/spreadsheets/d/1XL5vhW3sbDhbH9Cz0tuDiY8C3ctxq1tqvaCgkFb8cCA/edit?usp=sharing"",""ร้อยเอ็ด!J524"")"),320)</f>
        <v>320</v>
      </c>
      <c r="K629" s="343">
        <f t="shared" ca="1" si="129"/>
        <v>52.459016393442624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IFERROR(__xludf.DUMMYFUNCTION("IMPORTRANGE(""https://docs.google.com/spreadsheets/d/1XL5vhW3sbDhbH9Cz0tuDiY8C3ctxq1tqvaCgkFb8cCA/edit?usp=sharing"",""ร้อยเอ็ด!J525"")"),4607956.8)</f>
        <v>4607956.8</v>
      </c>
      <c r="K630" s="343">
        <f t="shared" ca="1" si="129"/>
        <v>13.411648970155925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IFERROR(__xludf.DUMMYFUNCTION("IMPORTRANGE(""https://docs.google.com/spreadsheets/d/1XL5vhW3sbDhbH9Cz0tuDiY8C3ctxq1tqvaCgkFb8cCA/edit?usp=sharing"",""ร้อยเอ็ด!J526"")"),933)</f>
        <v>933</v>
      </c>
      <c r="K631" s="343">
        <f t="shared" ca="1" si="129"/>
        <v>54.850088183421519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IFERROR(__xludf.DUMMYFUNCTION("IMPORTRANGE(""https://docs.google.com/spreadsheets/d/1XL5vhW3sbDhbH9Cz0tuDiY8C3ctxq1tqvaCgkFb8cCA/edit?usp=sharing"",""ร้อยเอ็ด!J527"")"),11197.17)</f>
        <v>11197.17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IFERROR(__xludf.DUMMYFUNCTION("IMPORTRANGE(""https://docs.google.com/spreadsheets/d/1XL5vhW3sbDhbH9Cz0tuDiY8C3ctxq1tqvaCgkFb8cCA/edit?usp=sharing"",""ร้อยเอ็ด!I529"")"),3000000)</f>
        <v>3000000</v>
      </c>
      <c r="J634" s="342">
        <f ca="1">IFERROR(__xludf.DUMMYFUNCTION("IMPORTRANGE(""https://docs.google.com/spreadsheets/d/1XL5vhW3sbDhbH9Cz0tuDiY8C3ctxq1tqvaCgkFb8cCA/edit?usp=sharing"",""ร้อยเอ็ด!J529"")"),3000000)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IFERROR(__xludf.DUMMYFUNCTION("IMPORTRANGE(""https://docs.google.com/spreadsheets/d/1XL5vhW3sbDhbH9Cz0tuDiY8C3ctxq1tqvaCgkFb8cCA/edit?usp=sharing"",""ร้อยเอ็ด!J530"")"),80)</f>
        <v>80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IFERROR(__xludf.DUMMYFUNCTION("IMPORTRANGE(""https://docs.google.com/spreadsheets/d/1XL5vhW3sbDhbH9Cz0tuDiY8C3ctxq1tqvaCgkFb8cCA/edit#gid=346597447"",""ร้อยเอ็ด!J541"")"),0)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IFERROR(__xludf.DUMMYFUNCTION("IMPORTRANGE(""https://docs.google.com/spreadsheets/d/1XL5vhW3sbDhbH9Cz0tuDiY8C3ctxq1tqvaCgkFb8cCA/edit#gid=346597447"",""ร้อยเอ็ด!J542"")"),1)</f>
        <v>1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IFERROR(__xludf.DUMMYFUNCTION("IMPORTRANGE(""https://docs.google.com/spreadsheets/d/1XL5vhW3sbDhbH9Cz0tuDiY8C3ctxq1tqvaCgkFb8cCA/edit#gid=346597447"",""ร้อยเอ็ด!I543"")"),14)</f>
        <v>14</v>
      </c>
      <c r="J648" s="585">
        <f ca="1">IFERROR(__xludf.DUMMYFUNCTION("IMPORTRANGE(""https://docs.google.com/spreadsheets/d/1XL5vhW3sbDhbH9Cz0tuDiY8C3ctxq1tqvaCgkFb8cCA/edit#gid=346597447"",""ร้อยเอ็ด!J543"")"),0)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IFERROR(__xludf.DUMMYFUNCTION("IMPORTRANGE(""https://docs.google.com/spreadsheets/d/1XL5vhW3sbDhbH9Cz0tuDiY8C3ctxq1tqvaCgkFb8cCA/edit#gid=346597447"",""ร้อยเอ็ด!L543"")"),1120)</f>
        <v>1120</v>
      </c>
      <c r="M648" s="570"/>
      <c r="N648" s="587">
        <f ca="1">IFERROR(__xludf.DUMMYFUNCTION("IMPORTRANGE(""https://docs.google.com/spreadsheets/d/1XL5vhW3sbDhbH9Cz0tuDiY8C3ctxq1tqvaCgkFb8cCA/edit#gid=346597447"",""ร้อยเอ็ด!M543"")"),0)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IFERROR(__xludf.DUMMYFUNCTION("IMPORTRANGE(""https://docs.google.com/spreadsheets/d/1XL5vhW3sbDhbH9Cz0tuDiY8C3ctxq1tqvaCgkFb8cCA/edit#gid=346597447"",""ร้อยเอ็ด!I544"")"),1)</f>
        <v>1</v>
      </c>
      <c r="J649" s="585">
        <f ca="1">IFERROR(__xludf.DUMMYFUNCTION("IMPORTRANGE(""https://docs.google.com/spreadsheets/d/1XL5vhW3sbDhbH9Cz0tuDiY8C3ctxq1tqvaCgkFb8cCA/edit#gid=346597447"",""ร้อยเอ็ด!J544"")"),0)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IFERROR(__xludf.DUMMYFUNCTION("IMPORTRANGE(""https://docs.google.com/spreadsheets/d/1XL5vhW3sbDhbH9Cz0tuDiY8C3ctxq1tqvaCgkFb8cCA/edit#gid=346597447"",""ร้อยเอ็ด!L544"")"),120)</f>
        <v>120</v>
      </c>
      <c r="M649" s="570"/>
      <c r="N649" s="587">
        <f ca="1">IFERROR(__xludf.DUMMYFUNCTION("IMPORTRANGE(""https://docs.google.com/spreadsheets/d/1XL5vhW3sbDhbH9Cz0tuDiY8C3ctxq1tqvaCgkFb8cCA/edit#gid=346597447"",""ร้อยเอ็ด!M544"")"),0)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IFERROR(__xludf.DUMMYFUNCTION("IMPORTRANGE(""https://docs.google.com/spreadsheets/d/1XL5vhW3sbDhbH9Cz0tuDiY8C3ctxq1tqvaCgkFb8cCA/edit#gid=346597447"",""ร้อยเอ็ด!I545"")"),0)</f>
        <v>0</v>
      </c>
      <c r="J650" s="585">
        <f ca="1">IFERROR(__xludf.DUMMYFUNCTION("IMPORTRANGE(""https://docs.google.com/spreadsheets/d/1XL5vhW3sbDhbH9Cz0tuDiY8C3ctxq1tqvaCgkFb8cCA/edit#gid=346597447"",""ร้อยเอ็ด!J545"")"),0)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IFERROR(__xludf.DUMMYFUNCTION("IMPORTRANGE(""https://docs.google.com/spreadsheets/d/1XL5vhW3sbDhbH9Cz0tuDiY8C3ctxq1tqvaCgkFb8cCA/edit#gid=346597447"",""ร้อยเอ็ด!L545"")"),0)</f>
        <v>0</v>
      </c>
      <c r="M650" s="570"/>
      <c r="N650" s="587">
        <f ca="1">IFERROR(__xludf.DUMMYFUNCTION("IMPORTRANGE(""https://docs.google.com/spreadsheets/d/1XL5vhW3sbDhbH9Cz0tuDiY8C3ctxq1tqvaCgkFb8cCA/edit#gid=346597447"",""ร้อยเอ็ด!M545"")"),0)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IFERROR(__xludf.DUMMYFUNCTION("IMPORTRANGE(""https://docs.google.com/spreadsheets/d/1XL5vhW3sbDhbH9Cz0tuDiY8C3ctxq1tqvaCgkFb8cCA/edit#gid=346597447"",""ร้อยเอ็ด!I546"")"),0)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IFERROR(__xludf.DUMMYFUNCTION("IMPORTRANGE(""https://docs.google.com/spreadsheets/d/1XL5vhW3sbDhbH9Cz0tuDiY8C3ctxq1tqvaCgkFb8cCA/edit#gid=346597447"",""ร้อยเอ็ด!L546"")"),0)</f>
        <v>0</v>
      </c>
      <c r="M651" s="570"/>
      <c r="N651" s="587">
        <f ca="1">IFERROR(__xludf.DUMMYFUNCTION("IMPORTRANGE(""https://docs.google.com/spreadsheets/d/1XL5vhW3sbDhbH9Cz0tuDiY8C3ctxq1tqvaCgkFb8cCA/edit#gid=346597447"",""ร้อยเอ็ด!M546"")"),0)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IFERROR(__xludf.DUMMYFUNCTION("IMPORTRANGE(""https://docs.google.com/spreadsheets/d/1XL5vhW3sbDhbH9Cz0tuDiY8C3ctxq1tqvaCgkFb8cCA/edit#gid=346597447"",""ร้อยเอ็ด!J547"")"),0)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IFERROR(__xludf.DUMMYFUNCTION("IMPORTRANGE(""https://docs.google.com/spreadsheets/d/1XL5vhW3sbDhbH9Cz0tuDiY8C3ctxq1tqvaCgkFb8cCA/edit#gid=346597447"",""ร้อยเอ็ด!J548"")"),0)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IFERROR(__xludf.DUMMYFUNCTION("IMPORTRANGE(""https://docs.google.com/spreadsheets/d/1XL5vhW3sbDhbH9Cz0tuDiY8C3ctxq1tqvaCgkFb8cCA/edit#gid=346597447"",""ร้อยเอ็ด!J550"")"),0)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IFERROR(__xludf.DUMMYFUNCTION("IMPORTRANGE(""https://docs.google.com/spreadsheets/d/1XL5vhW3sbDhbH9Cz0tuDiY8C3ctxq1tqvaCgkFb8cCA/edit#gid=346597447"",""ร้อยเอ็ด!J551"")"),0)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IFERROR(__xludf.DUMMYFUNCTION("IMPORTRANGE(""https://docs.google.com/spreadsheets/d/1XL5vhW3sbDhbH9Cz0tuDiY8C3ctxq1tqvaCgkFb8cCA/edit#gid=346597447"",""ร้อยเอ็ด!J552"")"),0)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IFERROR(__xludf.DUMMYFUNCTION("IMPORTRANGE(""https://docs.google.com/spreadsheets/d/1XL5vhW3sbDhbH9Cz0tuDiY8C3ctxq1tqvaCgkFb8cCA/edit#gid=346597447"",""ร้อยเอ็ด!J553"")"),0)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IFERROR(__xludf.DUMMYFUNCTION("IMPORTRANGE(""https://docs.google.com/spreadsheets/d/1XL5vhW3sbDhbH9Cz0tuDiY8C3ctxq1tqvaCgkFb8cCA/edit#gid=346597447"",""ร้อยเอ็ด!J554"")"),0)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IFERROR(__xludf.DUMMYFUNCTION("IMPORTRANGE(""https://docs.google.com/spreadsheets/d/1XL5vhW3sbDhbH9Cz0tuDiY8C3ctxq1tqvaCgkFb8cCA/edit#gid=346597447"",""ร้อยเอ็ด!J555"")"),0)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IFERROR(__xludf.DUMMYFUNCTION("IMPORTRANGE(""https://docs.google.com/spreadsheets/d/1XL5vhW3sbDhbH9Cz0tuDiY8C3ctxq1tqvaCgkFb8cCA/edit#gid=346597447"",""ร้อยเอ็ด!J556"")"),0)</f>
        <v>0</v>
      </c>
      <c r="K661" s="586"/>
      <c r="L661" s="571">
        <f ca="1">IFERROR(__xludf.DUMMYFUNCTION("IMPORTRANGE(""https://docs.google.com/spreadsheets/d/1XL5vhW3sbDhbH9Cz0tuDiY8C3ctxq1tqvaCgkFb8cCA/edit#gid=346597447"",""ร้อยเอ็ด!L556"")"),0)</f>
        <v>0</v>
      </c>
      <c r="M661" s="570"/>
      <c r="N661" s="587">
        <f ca="1">IFERROR(__xludf.DUMMYFUNCTION("IMPORTRANGE(""https://docs.google.com/spreadsheets/d/1XL5vhW3sbDhbH9Cz0tuDiY8C3ctxq1tqvaCgkFb8cCA/edit#gid=346597447"",""ร้อยเอ็ด!M556"")"),0)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IFERROR(__xludf.DUMMYFUNCTION("IMPORTRANGE(""https://docs.google.com/spreadsheets/d/1XL5vhW3sbDhbH9Cz0tuDiY8C3ctxq1tqvaCgkFb8cCA/edit#gid=346597447"",""ร้อยเอ็ด!J557"")"),0)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IFERROR(__xludf.DUMMYFUNCTION("IMPORTRANGE(""https://docs.google.com/spreadsheets/d/1XL5vhW3sbDhbH9Cz0tuDiY8C3ctxq1tqvaCgkFb8cCA/edit#gid=346597447"",""ร้อยเอ็ด!I558"")"),0)</f>
        <v>0</v>
      </c>
      <c r="J663" s="585">
        <f ca="1">IFERROR(__xludf.DUMMYFUNCTION("IMPORTRANGE(""https://docs.google.com/spreadsheets/d/1XL5vhW3sbDhbH9Cz0tuDiY8C3ctxq1tqvaCgkFb8cCA/edit#gid=346597447"",""ร้อยเอ็ด!J558"")"),0)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IFERROR(__xludf.DUMMYFUNCTION("IMPORTRANGE(""https://docs.google.com/spreadsheets/d/1XL5vhW3sbDhbH9Cz0tuDiY8C3ctxq1tqvaCgkFb8cCA/edit#gid=346597447"",""ร้อยเอ็ด!I560"")"),0)</f>
        <v>0</v>
      </c>
      <c r="J665" s="585">
        <f ca="1">IFERROR(__xludf.DUMMYFUNCTION("IMPORTRANGE(""https://docs.google.com/spreadsheets/d/1XL5vhW3sbDhbH9Cz0tuDiY8C3ctxq1tqvaCgkFb8cCA/edit#gid=346597447"",""ร้อยเอ็ด!J560"")"),0)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IFERROR(__xludf.DUMMYFUNCTION("IMPORTRANGE(""https://docs.google.com/spreadsheets/d/1XL5vhW3sbDhbH9Cz0tuDiY8C3ctxq1tqvaCgkFb8cCA/edit#gid=346597447"",""ร้อยเอ็ด!L560"")"),0)</f>
        <v>0</v>
      </c>
      <c r="M665" s="570"/>
      <c r="N665" s="587">
        <f ca="1">IFERROR(__xludf.DUMMYFUNCTION("IMPORTRANGE(""https://docs.google.com/spreadsheets/d/1XL5vhW3sbDhbH9Cz0tuDiY8C3ctxq1tqvaCgkFb8cCA/edit#gid=346597447"",""ร้อยเอ็ด!M560"")"),0)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IFERROR(__xludf.DUMMYFUNCTION("IMPORTRANGE(""https://docs.google.com/spreadsheets/d/1XL5vhW3sbDhbH9Cz0tuDiY8C3ctxq1tqvaCgkFb8cCA/edit#gid=346597447"",""ร้อยเอ็ด!J561"")"),0)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IFERROR(__xludf.DUMMYFUNCTION("IMPORTRANGE(""https://docs.google.com/spreadsheets/d/1XL5vhW3sbDhbH9Cz0tuDiY8C3ctxq1tqvaCgkFb8cCA/edit#gid=346597447"",""ร้อยเอ็ด!J562"")"),0)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IFERROR(__xludf.DUMMYFUNCTION("IMPORTRANGE(""https://docs.google.com/spreadsheets/d/1XL5vhW3sbDhbH9Cz0tuDiY8C3ctxq1tqvaCgkFb8cCA/edit#gid=346597447"",""ร้อยเอ็ด!I563"")"),0)</f>
        <v>0</v>
      </c>
      <c r="J668" s="585">
        <f ca="1">IFERROR(__xludf.DUMMYFUNCTION("IMPORTRANGE(""https://docs.google.com/spreadsheets/d/1XL5vhW3sbDhbH9Cz0tuDiY8C3ctxq1tqvaCgkFb8cCA/edit#gid=346597447"",""ร้อยเอ็ด!J563"")"),0)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IFERROR(__xludf.DUMMYFUNCTION("IMPORTRANGE(""https://docs.google.com/spreadsheets/d/1XL5vhW3sbDhbH9Cz0tuDiY8C3ctxq1tqvaCgkFb8cCA/edit#gid=346597447"",""ร้อยเอ็ด!L563"")"),0)</f>
        <v>0</v>
      </c>
      <c r="M668" s="570"/>
      <c r="N668" s="587">
        <f ca="1">IFERROR(__xludf.DUMMYFUNCTION("IMPORTRANGE(""https://docs.google.com/spreadsheets/d/1XL5vhW3sbDhbH9Cz0tuDiY8C3ctxq1tqvaCgkFb8cCA/edit#gid=346597447"",""ร้อยเอ็ด!M563"")"),0)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IFERROR(__xludf.DUMMYFUNCTION("IMPORTRANGE(""https://docs.google.com/spreadsheets/d/1XL5vhW3sbDhbH9Cz0tuDiY8C3ctxq1tqvaCgkFb8cCA/edit#gid=346597447"",""ร้อยเอ็ด!J564"")"),0)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IFERROR(__xludf.DUMMYFUNCTION("IMPORTRANGE(""https://docs.google.com/spreadsheets/d/1XL5vhW3sbDhbH9Cz0tuDiY8C3ctxq1tqvaCgkFb8cCA/edit#gid=346597447"",""ร้อยเอ็ด!J565"")"),0)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IFERROR(__xludf.DUMMYFUNCTION("IMPORTRANGE(""https://docs.google.com/spreadsheets/d/1XL5vhW3sbDhbH9Cz0tuDiY8C3ctxq1tqvaCgkFb8cCA/edit#gid=346597447"",""ร้อยเอ็ด!I566"")"),0)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IFERROR(__xludf.DUMMYFUNCTION("IMPORTRANGE(""https://docs.google.com/spreadsheets/d/1XL5vhW3sbDhbH9Cz0tuDiY8C3ctxq1tqvaCgkFb8cCA/edit#gid=346597447"",""ร้อยเอ็ด!L566"")"),0)</f>
        <v>0</v>
      </c>
      <c r="M671" s="570"/>
      <c r="N671" s="587">
        <f ca="1">IFERROR(__xludf.DUMMYFUNCTION("IMPORTRANGE(""https://docs.google.com/spreadsheets/d/1XL5vhW3sbDhbH9Cz0tuDiY8C3ctxq1tqvaCgkFb8cCA/edit#gid=346597447"",""ร้อยเอ็ด!M566"")"),0)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IFERROR(__xludf.DUMMYFUNCTION("IMPORTRANGE(""https://docs.google.com/spreadsheets/d/1XL5vhW3sbDhbH9Cz0tuDiY8C3ctxq1tqvaCgkFb8cCA/edit#gid=346597447"",""ร้อยเอ็ด!J567"")"),0)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IFERROR(__xludf.DUMMYFUNCTION("IMPORTRANGE(""https://docs.google.com/spreadsheets/d/1XL5vhW3sbDhbH9Cz0tuDiY8C3ctxq1tqvaCgkFb8cCA/edit#gid=346597447"",""ร้อยเอ็ด!J568"")"),0)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IFERROR(__xludf.DUMMYFUNCTION("IMPORTRANGE(""https://docs.google.com/spreadsheets/d/1XL5vhW3sbDhbH9Cz0tuDiY8C3ctxq1tqvaCgkFb8cCA/edit#gid=346597447"",""ร้อยเอ็ด!J569"")"),0)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IFERROR(__xludf.DUMMYFUNCTION("IMPORTRANGE(""https://docs.google.com/spreadsheets/d/1XL5vhW3sbDhbH9Cz0tuDiY8C3ctxq1tqvaCgkFb8cCA/edit#gid=346597447"",""ร้อยเอ็ด!J570"")"),0)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IFERROR(__xludf.DUMMYFUNCTION("IMPORTRANGE(""https://docs.google.com/spreadsheets/d/1XL5vhW3sbDhbH9Cz0tuDiY8C3ctxq1tqvaCgkFb8cCA/edit#gid=346597447"",""ร้อยเอ็ด!J571"")"),0)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IFERROR(__xludf.DUMMYFUNCTION("IMPORTRANGE(""https://docs.google.com/spreadsheets/d/1XL5vhW3sbDhbH9Cz0tuDiY8C3ctxq1tqvaCgkFb8cCA/edit#gid=346597447"",""ร้อยเอ็ด!J572"")"),0)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6530451</v>
      </c>
      <c r="M8" s="23">
        <f t="shared" ca="1" si="0"/>
        <v>2742145</v>
      </c>
      <c r="N8" s="23">
        <f t="shared" ca="1" si="0"/>
        <v>3340617.06</v>
      </c>
      <c r="O8" s="22">
        <f t="shared" ref="O8:O16" ca="1" si="1">IF(L8&gt;0,N8*100/L8,0)</f>
        <v>51.154461766882562</v>
      </c>
      <c r="P8" s="22">
        <f t="shared" ref="P8:P16" ca="1" si="2">IF(M8&gt;0,N8*100/M8,0)</f>
        <v>121.82496038685044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6530451</v>
      </c>
      <c r="M10" s="30">
        <f t="shared" ca="1" si="4"/>
        <v>2742145</v>
      </c>
      <c r="N10" s="30">
        <f t="shared" ca="1" si="4"/>
        <v>3340617.06</v>
      </c>
      <c r="O10" s="29">
        <f t="shared" ca="1" si="1"/>
        <v>51.154461766882562</v>
      </c>
      <c r="P10" s="29">
        <f t="shared" ca="1" si="2"/>
        <v>121.82496038685044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6353451</v>
      </c>
      <c r="M12" s="38">
        <f t="shared" ca="1" si="6"/>
        <v>2565145</v>
      </c>
      <c r="N12" s="38">
        <f t="shared" ca="1" si="6"/>
        <v>3163617.06</v>
      </c>
      <c r="O12" s="38">
        <f t="shared" ca="1" si="1"/>
        <v>49.793680001624317</v>
      </c>
      <c r="P12" s="38">
        <f t="shared" ca="1" si="2"/>
        <v>123.33092515237929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4074051</v>
      </c>
      <c r="M14" s="38">
        <f t="shared" si="8"/>
        <v>0</v>
      </c>
      <c r="N14" s="38">
        <f t="shared" ca="1" si="8"/>
        <v>1188188.25</v>
      </c>
      <c r="O14" s="38">
        <f t="shared" ca="1" si="1"/>
        <v>29.16478586055992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3466205</v>
      </c>
      <c r="M18" s="23">
        <f t="shared" ca="1" si="11"/>
        <v>2742145</v>
      </c>
      <c r="N18" s="23">
        <f t="shared" ca="1" si="11"/>
        <v>2152428.81</v>
      </c>
      <c r="O18" s="22">
        <f t="shared" ref="O18:O20" ca="1" si="12">IF(L18&gt;0,N18*100/L18,0)</f>
        <v>62.097562319597372</v>
      </c>
      <c r="P18" s="22">
        <f t="shared" ref="P18:P26" ca="1" si="13">IF(M18&gt;0,N18*100/M18,0)</f>
        <v>78.494346943724707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3466205</v>
      </c>
      <c r="M20" s="30">
        <f t="shared" ca="1" si="15"/>
        <v>2742145</v>
      </c>
      <c r="N20" s="30">
        <f t="shared" ca="1" si="15"/>
        <v>2152428.81</v>
      </c>
      <c r="O20" s="29">
        <f t="shared" ca="1" si="12"/>
        <v>62.097562319597372</v>
      </c>
      <c r="P20" s="29">
        <f t="shared" ca="1" si="13"/>
        <v>78.494346943724707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3289205</v>
      </c>
      <c r="M22" s="41">
        <f t="shared" ca="1" si="18"/>
        <v>2565145</v>
      </c>
      <c r="N22" s="38">
        <f t="shared" ca="1" si="18"/>
        <v>1975428.81</v>
      </c>
      <c r="O22" s="38">
        <f t="shared" ca="1" si="17"/>
        <v>60.057941356650012</v>
      </c>
      <c r="P22" s="38">
        <f t="shared" ca="1" si="13"/>
        <v>77.010415005779407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1009805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3064246</v>
      </c>
      <c r="M28" s="23">
        <f t="shared" si="23"/>
        <v>0</v>
      </c>
      <c r="N28" s="23">
        <f t="shared" ca="1" si="23"/>
        <v>1188188.25</v>
      </c>
      <c r="O28" s="22">
        <f t="shared" ref="O28:O30" ca="1" si="24">IF(L28&gt;0,N28*100/L28,0)</f>
        <v>38.77587667569771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3064246</v>
      </c>
      <c r="M30" s="30">
        <f t="shared" si="27"/>
        <v>0</v>
      </c>
      <c r="N30" s="30">
        <f t="shared" ca="1" si="27"/>
        <v>1188188.25</v>
      </c>
      <c r="O30" s="29">
        <f t="shared" ca="1" si="24"/>
        <v>38.77587667569771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3064246</v>
      </c>
      <c r="M32" s="38">
        <f t="shared" si="30"/>
        <v>0</v>
      </c>
      <c r="N32" s="38">
        <f t="shared" ca="1" si="30"/>
        <v>1188188.25</v>
      </c>
      <c r="O32" s="38">
        <f t="shared" ca="1" si="29"/>
        <v>38.77587667569771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3064246</v>
      </c>
      <c r="M34" s="38">
        <f t="shared" si="32"/>
        <v>0</v>
      </c>
      <c r="N34" s="38">
        <f t="shared" ca="1" si="32"/>
        <v>1188188.25</v>
      </c>
      <c r="O34" s="38">
        <f t="shared" ca="1" si="29"/>
        <v>38.77587667569771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3466205</v>
      </c>
      <c r="M37" s="54">
        <f t="shared" ca="1" si="33"/>
        <v>2742145</v>
      </c>
      <c r="N37" s="54">
        <f t="shared" ca="1" si="33"/>
        <v>2152428.81</v>
      </c>
      <c r="O37" s="55">
        <f t="shared" ca="1" si="29"/>
        <v>62.097562319597372</v>
      </c>
      <c r="P37" s="55">
        <f t="shared" ca="1" si="25"/>
        <v>78.494346943724707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629900</v>
      </c>
      <c r="N41" s="78">
        <f t="shared" ca="1" si="34"/>
        <v>588516.33000000007</v>
      </c>
      <c r="O41" s="77">
        <f t="shared" ref="O41:O43" ca="1" si="35">IF(L41&gt;0,N41*100/L41,0)</f>
        <v>72.504167795983747</v>
      </c>
      <c r="P41" s="77">
        <f t="shared" ref="P41:P43" ca="1" si="36">IF(M41&gt;0,N41*100/M41,0)</f>
        <v>93.430120654072084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629900</v>
      </c>
      <c r="N43" s="78">
        <f t="shared" ca="1" si="38"/>
        <v>588516.33000000007</v>
      </c>
      <c r="O43" s="77">
        <f t="shared" ca="1" si="35"/>
        <v>72.504167795983747</v>
      </c>
      <c r="P43" s="77">
        <f t="shared" ca="1" si="36"/>
        <v>93.430120654072084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622">
        <f ca="1">IFERROR(__xludf.DUMMYFUNCTION("IMPORTRANGE(""https://docs.google.com/spreadsheets/d/1Yj_ptqi66GCucihVvJfMjLAmec39IyEx_6qawtMGysU/edit?usp=sharing"",""สบก!Q49"")"),545300)</f>
        <v>545300</v>
      </c>
      <c r="N45" s="622">
        <f ca="1">IFERROR(__xludf.DUMMYFUNCTION("IMPORTRANGE(""https://docs.google.com/spreadsheets/d/1Yj_ptqi66GCucihVvJfMjLAmec39IyEx_6qawtMGysU/edit?usp=sharing"",""สบก!R49"")"),503916.33)</f>
        <v>503916.33</v>
      </c>
      <c r="O45" s="623">
        <f ca="1">IF(L45&gt;0,N45*100/L45,0)</f>
        <v>69.304955301884192</v>
      </c>
      <c r="P45" s="623">
        <f ca="1">IF(M45&gt;0,N45*100/M45,0)</f>
        <v>92.410843572345499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IFERROR(__xludf.DUMMYFUNCTION("IMPORTRANGE(""https://docs.google.com/spreadsheets/d/1Yj_ptqi66GCucihVvJfMjLAmec39IyEx_6qawtMGysU/edit?usp=sharing"",""สบก!M49"")"),727100)</f>
        <v>727100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IFERROR(__xludf.DUMMYFUNCTION("IMPORTRANGE(""https://docs.google.com/spreadsheets/d/1Yj_ptqi66GCucihVvJfMjLAmec39IyEx_6qawtMGysU/edit?usp=sharing"",""สบก!N49"")"),0)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IFERROR(__xludf.DUMMYFUNCTION("IMPORTRANGE(""https://docs.google.com/spreadsheets/d/1Yj_ptqi66GCucihVvJfMjLAmec39IyEx_6qawtMGysU/edit?usp=sharing"",""สบก!O49"")"),84600)</f>
        <v>84600</v>
      </c>
      <c r="M49" s="625">
        <f ca="1">L49</f>
        <v>84600</v>
      </c>
      <c r="N49" s="622">
        <f ca="1">IFERROR(__xludf.DUMMYFUNCTION("IMPORTRANGE(""https://docs.google.com/spreadsheets/d/1Yj_ptqi66GCucihVvJfMjLAmec39IyEx_6qawtMGysU/edit?usp=sharing"",""สบก!S49"")"),84600)</f>
        <v>84600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610650</v>
      </c>
      <c r="N53" s="121">
        <f t="shared" ca="1" si="39"/>
        <v>449443.81</v>
      </c>
      <c r="O53" s="120">
        <f t="shared" ref="O53:O55" ca="1" si="40">IF(L53&gt;0,N53*100/L53,0)</f>
        <v>57.093979928861792</v>
      </c>
      <c r="P53" s="120">
        <f t="shared" ref="P53:P55" ca="1" si="41">IF(M53&gt;0,N53*100/M53,0)</f>
        <v>73.60088594121018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610650</v>
      </c>
      <c r="N55" s="121">
        <f t="shared" ca="1" si="43"/>
        <v>449443.81</v>
      </c>
      <c r="O55" s="120">
        <f t="shared" ca="1" si="40"/>
        <v>57.093979928861792</v>
      </c>
      <c r="P55" s="120">
        <f t="shared" ca="1" si="41"/>
        <v>73.60088594121018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622">
        <f ca="1">IFERROR(__xludf.DUMMYFUNCTION("IMPORTRANGE(""https://docs.google.com/spreadsheets/d/1Yj_ptqi66GCucihVvJfMjLAmec39IyEx_6qawtMGysU/edit?usp=sharing"",""สบก!Z49"")"),610650)</f>
        <v>610650</v>
      </c>
      <c r="N57" s="622">
        <f ca="1">IFERROR(__xludf.DUMMYFUNCTION("IMPORTRANGE(""https://docs.google.com/spreadsheets/d/1Yj_ptqi66GCucihVvJfMjLAmec39IyEx_6qawtMGysU/edit?usp=sharing"",""สบก!AA49"")"),449443.81)</f>
        <v>449443.81</v>
      </c>
      <c r="O57" s="623">
        <f ca="1">IF(L57&gt;0,N57*100/L57,0)</f>
        <v>57.093979928861792</v>
      </c>
      <c r="P57" s="623">
        <f ca="1">IF(M57&gt;0,N57*100/M57,0)</f>
        <v>73.60088594121018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IFERROR(__xludf.DUMMYFUNCTION("IMPORTRANGE(""https://docs.google.com/spreadsheets/d/1Yj_ptqi66GCucihVvJfMjLAmec39IyEx_6qawtMGysU/edit?usp=sharing"",""สบก!V49"")"),787200)</f>
        <v>787200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IFERROR(__xludf.DUMMYFUNCTION("IMPORTRANGE(""https://docs.google.com/spreadsheets/d/1Yj_ptqi66GCucihVvJfMjLAmec39IyEx_6qawtMGysU/edit?usp=sharing"",""สบก!W49"")"),0)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IFERROR(__xludf.DUMMYFUNCTION("IMPORTRANGE(""https://docs.google.com/spreadsheets/d/1Yj_ptqi66GCucihVvJfMjLAmec39IyEx_6qawtMGysU/edit?usp=sharing"",""สบก!X49"")"),0)</f>
        <v>0</v>
      </c>
      <c r="M61" s="625"/>
      <c r="N61" s="622">
        <f ca="1">IFERROR(__xludf.DUMMYFUNCTION("IMPORTRANGE(""https://docs.google.com/spreadsheets/d/1Yj_ptqi66GCucihVvJfMjLAmec39IyEx_6qawtMGysU/edit?usp=sharing"",""สบก!AB49"")"),0)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IFERROR(__xludf.DUMMYFUNCTION("IMPORTRANGE(""https://docs.google.com/spreadsheets/d/1Yj_ptqi66GCucihVvJfMjLAmec39IyEx_6qawtMGysU/edit?usp=sharing"",""สบก!AI49"")"),0)</f>
        <v>0</v>
      </c>
      <c r="N70" s="627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IFERROR(__xludf.DUMMYFUNCTION("IMPORTRANGE(""https://docs.google.com/spreadsheets/d/1Yj_ptqi66GCucihVvJfMjLAmec39IyEx_6qawtMGysU/edit?usp=sharing"",""สบก!AG49"")"),0)</f>
        <v>0</v>
      </c>
      <c r="M74" s="625"/>
      <c r="N74" s="622">
        <f ca="1">IFERROR(__xludf.DUMMYFUNCTION("IMPORTRANGE(""https://docs.google.com/spreadsheets/d/1Yj_ptqi66GCucihVvJfMjLAmec39IyEx_6qawtMGysU/edit?usp=sharing"",""สบก!AK49"")"),0)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138278</v>
      </c>
      <c r="O94" s="151">
        <f t="shared" ref="O94:O96" ca="1" si="53">IF(L94&gt;0,N94*100/L94,0)</f>
        <v>64.465268065268063</v>
      </c>
      <c r="P94" s="151">
        <f t="shared" ref="P94:P96" ca="1" si="54">IF(M94&gt;0,N94*100/M94,0)</f>
        <v>71.11053971355841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138278</v>
      </c>
      <c r="O96" s="156">
        <f t="shared" ca="1" si="53"/>
        <v>64.465268065268063</v>
      </c>
      <c r="P96" s="156">
        <f t="shared" ca="1" si="54"/>
        <v>71.11053971355841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IFERROR(__xludf.DUMMYFUNCTION("IMPORTRANGE(""https://docs.google.com/spreadsheets/d/1Yj_ptqi66GCucihVvJfMjLAmec39IyEx_6qawtMGysU/edit?usp=sharing"",""สบก!AR49"")"),102055)</f>
        <v>102055</v>
      </c>
      <c r="N98" s="627">
        <f ca="1">IFERROR(__xludf.DUMMYFUNCTION("IMPORTRANGE(""https://docs.google.com/spreadsheets/d/1Yj_ptqi66GCucihVvJfMjLAmec39IyEx_6qawtMGysU/edit?usp=sharing"",""สบก!AS49"")"),45878)</f>
        <v>45878</v>
      </c>
      <c r="O98" s="169">
        <f ca="1">IF(L98&gt;0,N98*100/L98,0)</f>
        <v>37.574119574119571</v>
      </c>
      <c r="P98" s="169">
        <f ca="1">IF(M98&gt;0,N98*100/M98,0)</f>
        <v>44.954191367399929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IFERROR(__xludf.DUMMYFUNCTION("IMPORTRANGE(""https://docs.google.com/spreadsheets/d/1Yj_ptqi66GCucihVvJfMjLAmec39IyEx_6qawtMGysU/edit?usp=sharing"",""สบก!AP49"")"),92400)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IFERROR(__xludf.DUMMYFUNCTION("IMPORTRANGE(""https://docs.google.com/spreadsheets/d/1Yj_ptqi66GCucihVvJfMjLAmec39IyEx_6qawtMGysU/edit?usp=sharing"",""สบก!AT49"")"),92400)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IFERROR(__xludf.DUMMYFUNCTION("IMPORTRANGE(""https://docs.google.com/spreadsheets/d/1Yj_ptqi66GCucihVvJfMjLAmec39IyEx_6qawtMGysU/edit?usp=sharing"",""สบก!BA49"")"),0)</f>
        <v>0</v>
      </c>
      <c r="N122" s="627">
        <f ca="1">IFERROR(__xludf.DUMMYFUNCTION("IMPORTRANGE(""https://docs.google.com/spreadsheets/d/1Yj_ptqi66GCucihVvJfMjLAmec39IyEx_6qawtMGysU/edit?usp=sharing"",""สบก!BB49"")"),0)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IFERROR(__xludf.DUMMYFUNCTION("IMPORTRANGE(""https://docs.google.com/spreadsheets/d/1Yj_ptqi66GCucihVvJfMjLAmec39IyEx_6qawtMGysU/edit?usp=sharing"",""สบก!AY49"")"),0)</f>
        <v>0</v>
      </c>
      <c r="M126" s="625"/>
      <c r="N126" s="622">
        <f ca="1">IFERROR(__xludf.DUMMYFUNCTION("IMPORTRANGE(""https://docs.google.com/spreadsheets/d/1Yj_ptqi66GCucihVvJfMjLAmec39IyEx_6qawtMGysU/edit?usp=sharing"",""สบก!BC49"")"),0)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581800</v>
      </c>
      <c r="M140" s="152">
        <f t="shared" ca="1" si="64"/>
        <v>431025</v>
      </c>
      <c r="N140" s="152">
        <f t="shared" ca="1" si="64"/>
        <v>353730.06</v>
      </c>
      <c r="O140" s="151">
        <f t="shared" ref="O140:O142" ca="1" si="65">IF(L140&gt;0,N140*100/L140,0)</f>
        <v>60.799254039188725</v>
      </c>
      <c r="P140" s="151">
        <f t="shared" ref="P140:P142" ca="1" si="66">IF(M140&gt;0,N140*100/M140,0)</f>
        <v>82.067179397946759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581800</v>
      </c>
      <c r="M142" s="157">
        <f t="shared" ca="1" si="68"/>
        <v>431025</v>
      </c>
      <c r="N142" s="157">
        <f t="shared" ca="1" si="68"/>
        <v>353730.06</v>
      </c>
      <c r="O142" s="156">
        <f t="shared" ca="1" si="65"/>
        <v>60.799254039188725</v>
      </c>
      <c r="P142" s="156">
        <f t="shared" ca="1" si="66"/>
        <v>82.067179397946759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581800</v>
      </c>
      <c r="M144" s="626">
        <f ca="1">IFERROR(__xludf.DUMMYFUNCTION("IMPORTRANGE(""https://docs.google.com/spreadsheets/d/1Yj_ptqi66GCucihVvJfMjLAmec39IyEx_6qawtMGysU/edit?usp=sharing"",""สบก!BJ49"")"),431025)</f>
        <v>431025</v>
      </c>
      <c r="N144" s="627">
        <f ca="1">IFERROR(__xludf.DUMMYFUNCTION("IMPORTRANGE(""https://docs.google.com/spreadsheets/d/1Yj_ptqi66GCucihVvJfMjLAmec39IyEx_6qawtMGysU/edit?usp=sharing"",""สบก!BK49"")"),353730.06)</f>
        <v>353730.06</v>
      </c>
      <c r="O144" s="169">
        <f ca="1">IF(L144&gt;0,N144*100/L144,0)</f>
        <v>60.799254039188725</v>
      </c>
      <c r="P144" s="169">
        <f ca="1">IF(M144&gt;0,N144*100/M144,0)</f>
        <v>82.067179397946759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IFERROR(__xludf.DUMMYFUNCTION("IMPORTRANGE(""https://docs.google.com/spreadsheets/d/1Yj_ptqi66GCucihVvJfMjLAmec39IyEx_6qawtMGysU/edit?usp=sharing"",""สบก!BG49"")"),122700)</f>
        <v>122700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IFERROR(__xludf.DUMMYFUNCTION("IMPORTRANGE(""https://docs.google.com/spreadsheets/d/1Yj_ptqi66GCucihVvJfMjLAmec39IyEx_6qawtMGysU/edit?usp=sharing"",""สบก!BH49"")"),0)</f>
        <v>0</v>
      </c>
      <c r="M148" s="625"/>
      <c r="N148" s="622">
        <f ca="1">IFERROR(__xludf.DUMMYFUNCTION("IMPORTRANGE(""https://docs.google.com/spreadsheets/d/1Yj_ptqi66GCucihVvJfMjLAmec39IyEx_6qawtMGysU/edit?usp=sharing"",""สบก!BL49"")"),0)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IFERROR(__xludf.DUMMYFUNCTION("IMPORTRANGE(""https://docs.google.com/spreadsheets/d/1XL5vhW3sbDhbH9Cz0tuDiY8C3ctxq1tqvaCgkFb8cCA/edit?usp=sharing"",""เลย!J84"")"),107)</f>
        <v>107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IFERROR(__xludf.DUMMYFUNCTION("IMPORTRANGE(""https://docs.google.com/spreadsheets/d/1XL5vhW3sbDhbH9Cz0tuDiY8C3ctxq1tqvaCgkFb8cCA/edit?usp=sharing"",""เลย!J85"")"),107)</f>
        <v>107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IFERROR(__xludf.DUMMYFUNCTION("IMPORTRANGE(""https://docs.google.com/spreadsheets/d/1Yj_ptqi66GCucihVvJfMjLAmec39IyEx_6qawtMGysU/edit?usp=sharing"",""สบก!BS49"")"),21125)</f>
        <v>21125</v>
      </c>
      <c r="N224" s="627">
        <f ca="1">IFERROR(__xludf.DUMMYFUNCTION("IMPORTRANGE(""https://docs.google.com/spreadsheets/d/1Yj_ptqi66GCucihVvJfMjLAmec39IyEx_6qawtMGysU/edit?usp=sharing"",""สบก!BT49"")"),20805)</f>
        <v>20805</v>
      </c>
      <c r="O224" s="169">
        <f ca="1">IF(L224&gt;0,N224*100/L224,0)</f>
        <v>98.485207100591722</v>
      </c>
      <c r="P224" s="169">
        <f ca="1">IF(M224&gt;0,N224*100/M224,0)</f>
        <v>98.485207100591722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IFERROR(__xludf.DUMMYFUNCTION("IMPORTRANGE(""https://docs.google.com/spreadsheets/d/1Yj_ptqi66GCucihVvJfMjLAmec39IyEx_6qawtMGysU/edit?usp=sharing"",""สบก!BQ49"")"),0)</f>
        <v>0</v>
      </c>
      <c r="M228" s="625"/>
      <c r="N228" s="622">
        <f ca="1">IFERROR(__xludf.DUMMYFUNCTION("IMPORTRANGE(""https://docs.google.com/spreadsheets/d/1Yj_ptqi66GCucihVvJfMjLAmec39IyEx_6qawtMGysU/edit?usp=sharing"",""สบก!BU49"")"),0)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IFERROR(__xludf.DUMMYFUNCTION("IMPORTRANGE(""https://docs.google.com/spreadsheets/d/1Yj_ptqi66GCucihVvJfMjLAmec39IyEx_6qawtMGysU/edit?usp=sharing"",""สบก!CB49"")"),0)</f>
        <v>0</v>
      </c>
      <c r="N254" s="627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IFERROR(__xludf.DUMMYFUNCTION("IMPORTRANGE(""https://docs.google.com/spreadsheets/d/1Yj_ptqi66GCucihVvJfMjLAmec39IyEx_6qawtMGysU/edit?usp=sharing"",""สบก!BZ49"")"),0)</f>
        <v>0</v>
      </c>
      <c r="M258" s="625"/>
      <c r="N258" s="622">
        <f ca="1">IFERROR(__xludf.DUMMYFUNCTION("IMPORTRANGE(""https://docs.google.com/spreadsheets/d/1Yj_ptqi66GCucihVvJfMjLAmec39IyEx_6qawtMGysU/edit?usp=sharing"",""สบก!CD49"")"),0)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26865</v>
      </c>
      <c r="O271" s="151">
        <f t="shared" ref="O271:O273" ca="1" si="84">IF(L271&gt;0,N271*100/L271,0)</f>
        <v>48.668478260869563</v>
      </c>
      <c r="P271" s="151">
        <f t="shared" ref="P271:P273" ca="1" si="85">IF(M271&gt;0,N271*100/M271,0)</f>
        <v>83.302325581395351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26865</v>
      </c>
      <c r="O273" s="156">
        <f t="shared" ca="1" si="84"/>
        <v>48.668478260869563</v>
      </c>
      <c r="P273" s="156">
        <f t="shared" ca="1" si="85"/>
        <v>83.302325581395351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IFERROR(__xludf.DUMMYFUNCTION("IMPORTRANGE(""https://docs.google.com/spreadsheets/d/1Yj_ptqi66GCucihVvJfMjLAmec39IyEx_6qawtMGysU/edit?usp=sharing"",""สบก!CK49"")"),32250)</f>
        <v>32250</v>
      </c>
      <c r="N275" s="627">
        <f ca="1">IFERROR(__xludf.DUMMYFUNCTION("IMPORTRANGE(""https://docs.google.com/spreadsheets/d/1Yj_ptqi66GCucihVvJfMjLAmec39IyEx_6qawtMGysU/edit?usp=sharing"",""สบก!CL49"")"),26865)</f>
        <v>26865</v>
      </c>
      <c r="O275" s="169">
        <f ca="1">IF(L275&gt;0,N275*100/L275,0)</f>
        <v>48.668478260869563</v>
      </c>
      <c r="P275" s="169">
        <f ca="1">IF(M275&gt;0,N275*100/M275,0)</f>
        <v>83.302325581395351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IFERROR(__xludf.DUMMYFUNCTION("IMPORTRANGE(""https://docs.google.com/spreadsheets/d/1Yj_ptqi66GCucihVvJfMjLAmec39IyEx_6qawtMGysU/edit?usp=sharing"",""สบก!CI49"")"),0)</f>
        <v>0</v>
      </c>
      <c r="M279" s="625"/>
      <c r="N279" s="622">
        <f ca="1">IFERROR(__xludf.DUMMYFUNCTION("IMPORTRANGE(""https://docs.google.com/spreadsheets/d/1Yj_ptqi66GCucihVvJfMjLAmec39IyEx_6qawtMGysU/edit?usp=sharing"",""สบก!CM49"")"),0)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IFERROR(__xludf.DUMMYFUNCTION("IMPORTRANGE(""https://docs.google.com/spreadsheets/d/1Yj_ptqi66GCucihVvJfMjLAmec39IyEx_6qawtMGysU/edit?usp=sharing"",""สบก!CT49"")"),0)</f>
        <v>0</v>
      </c>
      <c r="N294" s="627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IFERROR(__xludf.DUMMYFUNCTION("IMPORTRANGE(""https://docs.google.com/spreadsheets/d/1Yj_ptqi66GCucihVvJfMjLAmec39IyEx_6qawtMGysU/edit?usp=sharing"",""สบก!CR49"")"),0)</f>
        <v>0</v>
      </c>
      <c r="M298" s="625"/>
      <c r="N298" s="622">
        <f ca="1">IFERROR(__xludf.DUMMYFUNCTION("IMPORTRANGE(""https://docs.google.com/spreadsheets/d/1Yj_ptqi66GCucihVvJfMjLAmec39IyEx_6qawtMGysU/edit?usp=sharing"",""สบก!CV49"")"),0)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IFERROR(__xludf.DUMMYFUNCTION("IMPORTRANGE(""https://docs.google.com/spreadsheets/d/1Yj_ptqi66GCucihVvJfMjLAmec39IyEx_6qawtMGysU/edit?usp=sharing"",""สบก!DC49"")"),0)</f>
        <v>0</v>
      </c>
      <c r="N314" s="627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IFERROR(__xludf.DUMMYFUNCTION("IMPORTRANGE(""https://docs.google.com/spreadsheets/d/1Yj_ptqi66GCucihVvJfMjLAmec39IyEx_6qawtMGysU/edit?usp=sharing"",""สบก!DA49"")"),0)</f>
        <v>0</v>
      </c>
      <c r="M318" s="625"/>
      <c r="N318" s="622">
        <f ca="1">IFERROR(__xludf.DUMMYFUNCTION("IMPORTRANGE(""https://docs.google.com/spreadsheets/d/1Yj_ptqi66GCucihVvJfMjLAmec39IyEx_6qawtMGysU/edit?usp=sharing"",""สบก!DE49"")"),0)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IFERROR(__xludf.DUMMYFUNCTION("IMPORTRANGE(""https://docs.google.com/spreadsheets/d/1XL5vhW3sbDhbH9Cz0tuDiY8C3ctxq1tqvaCgkFb8cCA/edit?usp=sharing"",""เลย!J228"")"),679)</f>
        <v>679</v>
      </c>
      <c r="K328" s="318">
        <f ca="1">IF(I328&gt;0,J328*100/I328,0)</f>
        <v>95.633802816901408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822740</v>
      </c>
      <c r="N329" s="152">
        <f t="shared" ca="1" si="98"/>
        <v>574790.61</v>
      </c>
      <c r="O329" s="151">
        <f t="shared" ref="O329:O331" ca="1" si="99">IF(L329&gt;0,N329*100/L329,0)</f>
        <v>57.786485100735916</v>
      </c>
      <c r="P329" s="151">
        <f t="shared" ref="P329:P331" ca="1" si="100">IF(M329&gt;0,N329*100/M329,0)</f>
        <v>69.862971291051849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822740</v>
      </c>
      <c r="N331" s="157">
        <f t="shared" ca="1" si="102"/>
        <v>574790.61</v>
      </c>
      <c r="O331" s="156">
        <f t="shared" ca="1" si="99"/>
        <v>57.786485100735916</v>
      </c>
      <c r="P331" s="156">
        <f t="shared" ca="1" si="100"/>
        <v>69.862971291051849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6">
        <f ca="1">IFERROR(__xludf.DUMMYFUNCTION("IMPORTRANGE(""https://docs.google.com/spreadsheets/d/1Yj_ptqi66GCucihVvJfMjLAmec39IyEx_6qawtMGysU/edit?usp=sharing"",""สบก!DL49"")"),822740)</f>
        <v>822740</v>
      </c>
      <c r="N333" s="627">
        <f ca="1">IFERROR(__xludf.DUMMYFUNCTION("IMPORTRANGE(""https://docs.google.com/spreadsheets/d/1Yj_ptqi66GCucihVvJfMjLAmec39IyEx_6qawtMGysU/edit?usp=sharing"",""สบก!DM49"")"),574790.61)</f>
        <v>574790.61</v>
      </c>
      <c r="O333" s="169">
        <f ca="1">IF(L333&gt;0,N333*100/L333,0)</f>
        <v>57.786485100735916</v>
      </c>
      <c r="P333" s="169">
        <f ca="1">IF(M333&gt;0,N333*100/M333,0)</f>
        <v>69.862971291051849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IFERROR(__xludf.DUMMYFUNCTION("IMPORTRANGE(""https://docs.google.com/spreadsheets/d/1Yj_ptqi66GCucihVvJfMjLAmec39IyEx_6qawtMGysU/edit?usp=sharing"",""สบก!DJ49"")"),0)</f>
        <v>0</v>
      </c>
      <c r="M337" s="625"/>
      <c r="N337" s="622">
        <f ca="1">IFERROR(__xludf.DUMMYFUNCTION("IMPORTRANGE(""https://docs.google.com/spreadsheets/d/1Yj_ptqi66GCucihVvJfMjLAmec39IyEx_6qawtMGysU/edit?usp=sharing"",""สบก!DN49"")"),0)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IFERROR(__xludf.DUMMYFUNCTION("IMPORTRANGE(""https://docs.google.com/spreadsheets/d/1XL5vhW3sbDhbH9Cz0tuDiY8C3ctxq1tqvaCgkFb8cCA/edit?usp=sharing"",""เลย!J234"")"),267)</f>
        <v>267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IFERROR(__xludf.DUMMYFUNCTION("IMPORTRANGE(""https://docs.google.com/spreadsheets/d/1XL5vhW3sbDhbH9Cz0tuDiY8C3ctxq1tqvaCgkFb8cCA/edit?usp=sharing"",""เลย!J235"")"),2768.86)</f>
        <v>2768.86</v>
      </c>
      <c r="K340" s="343">
        <f t="shared" ca="1" si="103"/>
        <v>68.536138613861382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IFERROR(__xludf.DUMMYFUNCTION("IMPORTRANGE(""https://docs.google.com/spreadsheets/d/1XL5vhW3sbDhbH9Cz0tuDiY8C3ctxq1tqvaCgkFb8cCA/edit?usp=sharing"",""เลย!J236"")"),667)</f>
        <v>667</v>
      </c>
      <c r="K341" s="343">
        <f t="shared" ca="1" si="103"/>
        <v>93.943661971830991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IFERROR(__xludf.DUMMYFUNCTION("IMPORTRANGE(""https://docs.google.com/spreadsheets/d/1XL5vhW3sbDhbH9Cz0tuDiY8C3ctxq1tqvaCgkFb8cCA/edit?usp=sharing"",""เลย!J237"")"),9847.08)</f>
        <v>9847.08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IFERROR(__xludf.DUMMYFUNCTION("IMPORTRANGE(""https://docs.google.com/spreadsheets/d/1XL5vhW3sbDhbH9Cz0tuDiY8C3ctxq1tqvaCgkFb8cCA/edit?usp=sharing"",""เลย!J238"")"),2)</f>
        <v>2</v>
      </c>
      <c r="K343" s="343">
        <f t="shared" ca="1" si="103"/>
        <v>0.28169014084507044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IFERROR(__xludf.DUMMYFUNCTION("IMPORTRANGE(""https://docs.google.com/spreadsheets/d/1XL5vhW3sbDhbH9Cz0tuDiY8C3ctxq1tqvaCgkFb8cCA/edit?usp=sharing"",""เลย!J239"")"),27.14)</f>
        <v>27.14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IFERROR(__xludf.DUMMYFUNCTION("IMPORTRANGE(""https://docs.google.com/spreadsheets/d/1XL5vhW3sbDhbH9Cz0tuDiY8C3ctxq1tqvaCgkFb8cCA/edit?usp=sharing"",""เลย!J240"")"),679)</f>
        <v>679</v>
      </c>
      <c r="K345" s="343">
        <f t="shared" ca="1" si="103"/>
        <v>95.633802816901408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IFERROR(__xludf.DUMMYFUNCTION("IMPORTRANGE(""https://docs.google.com/spreadsheets/d/1XL5vhW3sbDhbH9Cz0tuDiY8C3ctxq1tqvaCgkFb8cCA/edit?usp=sharing"",""เลย!J241"")"),10063.05)</f>
        <v>10063.049999999999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IFERROR(__xludf.DUMMYFUNCTION("IMPORTRANGE(""https://docs.google.com/spreadsheets/d/1XL5vhW3sbDhbH9Cz0tuDiY8C3ctxq1tqvaCgkFb8cCA/edit?usp=sharing"",""เลย!L242"")"),3064246)</f>
        <v>3064246</v>
      </c>
      <c r="M347" s="358"/>
      <c r="N347" s="358">
        <f ca="1">IFERROR(__xludf.DUMMYFUNCTION("IMPORTRANGE(""https://docs.google.com/spreadsheets/d/1XL5vhW3sbDhbH9Cz0tuDiY8C3ctxq1tqvaCgkFb8cCA/edit?usp=sharing"",""เลย!M242"")"),1188188.25)</f>
        <v>1188188.25</v>
      </c>
      <c r="O347" s="358">
        <f ca="1">+IF(L347&gt;0,N347*100/L347,0)</f>
        <v>38.77587667569771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IFERROR(__xludf.DUMMYFUNCTION("IMPORTRANGE(""https://docs.google.com/spreadsheets/d/1XL5vhW3sbDhbH9Cz0tuDiY8C3ctxq1tqvaCgkFb8cCA/edit?usp=sharing"",""เลย!M244"")"),206575)</f>
        <v>206575</v>
      </c>
      <c r="O349" s="373">
        <f ca="1">+IF(L349&gt;0,N349*100/L349,0)</f>
        <v>40.530332757808821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IFERROR(__xludf.DUMMYFUNCTION("IMPORTRANGE(""https://docs.google.com/spreadsheets/d/1XL5vhW3sbDhbH9Cz0tuDiY8C3ctxq1tqvaCgkFb8cCA/edit?usp=sharing"",""เลย!M247"")"),206575)</f>
        <v>206575</v>
      </c>
      <c r="O352" s="165">
        <f t="shared" ca="1" si="105"/>
        <v>40.530332757808821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IFERROR(__xludf.DUMMYFUNCTION("IMPORTRANGE(""https://docs.google.com/spreadsheets/d/1XL5vhW3sbDhbH9Cz0tuDiY8C3ctxq1tqvaCgkFb8cCA/edit?usp=sharing"",""เลย!M249"")"),206575)</f>
        <v>206575</v>
      </c>
      <c r="O354" s="169">
        <f t="shared" ca="1" si="105"/>
        <v>40.530332757808821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IFERROR(__xludf.DUMMYFUNCTION("IMPORTRANGE(""https://docs.google.com/spreadsheets/d/1XL5vhW3sbDhbH9Cz0tuDiY8C3ctxq1tqvaCgkFb8cCA/edit?usp=sharing"",""เลย!M252"")"),75165)</f>
        <v>75165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IFERROR(__xludf.DUMMYFUNCTION("IMPORTRANGE(""https://docs.google.com/spreadsheets/d/1XL5vhW3sbDhbH9Cz0tuDiY8C3ctxq1tqvaCgkFb8cCA/edit?usp=sharing"",""เลย!M253"")"),24010)</f>
        <v>24010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IFERROR(__xludf.DUMMYFUNCTION("IMPORTRANGE(""https://docs.google.com/spreadsheets/d/1XL5vhW3sbDhbH9Cz0tuDiY8C3ctxq1tqvaCgkFb8cCA/edit?usp=sharing"",""เลย!M275"")"),168326)</f>
        <v>168326</v>
      </c>
      <c r="O380" s="373">
        <f ca="1">+IF(L380&gt;0,N380*100/L380,0)</f>
        <v>16.365846070081282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IFERROR(__xludf.DUMMYFUNCTION("IMPORTRANGE(""https://docs.google.com/spreadsheets/d/1XL5vhW3sbDhbH9Cz0tuDiY8C3ctxq1tqvaCgkFb8cCA/edit?usp=sharing"",""เลย!M278"")"),168326)</f>
        <v>168326</v>
      </c>
      <c r="O383" s="165">
        <f t="shared" ca="1" si="109"/>
        <v>16.365846070081282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IFERROR(__xludf.DUMMYFUNCTION("IMPORTRANGE(""https://docs.google.com/spreadsheets/d/1XL5vhW3sbDhbH9Cz0tuDiY8C3ctxq1tqvaCgkFb8cCA/edit?usp=sharing"",""เลย!M280"")"),168326)</f>
        <v>168326</v>
      </c>
      <c r="O385" s="169">
        <f t="shared" ca="1" si="109"/>
        <v>16.365846070081282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IFERROR(__xludf.DUMMYFUNCTION("IMPORTRANGE(""https://docs.google.com/spreadsheets/d/1XL5vhW3sbDhbH9Cz0tuDiY8C3ctxq1tqvaCgkFb8cCA/edit?usp=sharing"",""เลย!M281"")"),118100)</f>
        <v>118100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IFERROR(__xludf.DUMMYFUNCTION("IMPORTRANGE(""https://docs.google.com/spreadsheets/d/1XL5vhW3sbDhbH9Cz0tuDiY8C3ctxq1tqvaCgkFb8cCA/edit?usp=sharing"",""เลย!M283"")"),45826)</f>
        <v>45826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IFERROR(__xludf.DUMMYFUNCTION("IMPORTRANGE(""https://docs.google.com/spreadsheets/d/1XL5vhW3sbDhbH9Cz0tuDiY8C3ctxq1tqvaCgkFb8cCA/edit?usp=sharing"",""เลย!M284"")"),4400)</f>
        <v>4400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IFERROR(__xludf.DUMMYFUNCTION("IMPORTRANGE(""https://docs.google.com/spreadsheets/d/1XL5vhW3sbDhbH9Cz0tuDiY8C3ctxq1tqvaCgkFb8cCA/edit?usp=sharing"",""เลย!M296"")"),80510)</f>
        <v>80510</v>
      </c>
      <c r="O401" s="373">
        <f ca="1">+IF(L401&gt;0,N401*100/L401,0)</f>
        <v>54.727754741350012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IFERROR(__xludf.DUMMYFUNCTION("IMPORTRANGE(""https://docs.google.com/spreadsheets/d/1XL5vhW3sbDhbH9Cz0tuDiY8C3ctxq1tqvaCgkFb8cCA/edit?usp=sharing"",""เลย!M299"")"),80510)</f>
        <v>80510</v>
      </c>
      <c r="O404" s="169">
        <f t="shared" ca="1" si="112"/>
        <v>54.727754741350012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IFERROR(__xludf.DUMMYFUNCTION("IMPORTRANGE(""https://docs.google.com/spreadsheets/d/1XL5vhW3sbDhbH9Cz0tuDiY8C3ctxq1tqvaCgkFb8cCA/edit?usp=sharing"",""เลย!M301"")"),80510)</f>
        <v>80510</v>
      </c>
      <c r="O406" s="169">
        <f t="shared" ca="1" si="112"/>
        <v>54.727754741350012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IFERROR(__xludf.DUMMYFUNCTION("IMPORTRANGE(""https://docs.google.com/spreadsheets/d/1XL5vhW3sbDhbH9Cz0tuDiY8C3ctxq1tqvaCgkFb8cCA/edit?usp=sharing"",""เลย!M302"")"),70550)</f>
        <v>70550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IFERROR(__xludf.DUMMYFUNCTION("IMPORTRANGE(""https://docs.google.com/spreadsheets/d/1XL5vhW3sbDhbH9Cz0tuDiY8C3ctxq1tqvaCgkFb8cCA/edit?usp=sharing"",""เลย!M305"")"),9960)</f>
        <v>9960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IFERROR(__xludf.DUMMYFUNCTION("IMPORTRANGE(""https://docs.google.com/spreadsheets/d/1XL5vhW3sbDhbH9Cz0tuDiY8C3ctxq1tqvaCgkFb8cCA/edit?usp=sharing"",""เลย!M330"")"),30028.71)</f>
        <v>30028.71</v>
      </c>
      <c r="O435" s="412">
        <f t="shared" ref="O435:O439" ca="1" si="114">+IF(L435&gt;0,N435*100/L435,0)</f>
        <v>38.998324675324675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IFERROR(__xludf.DUMMYFUNCTION("IMPORTRANGE(""https://docs.google.com/spreadsheets/d/1XL5vhW3sbDhbH9Cz0tuDiY8C3ctxq1tqvaCgkFb8cCA/edit?usp=sharing"",""เลย!M332"")"),30028.71)</f>
        <v>30028.71</v>
      </c>
      <c r="O437" s="169">
        <f t="shared" ca="1" si="114"/>
        <v>38.998324675324675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IFERROR(__xludf.DUMMYFUNCTION("IMPORTRANGE(""https://docs.google.com/spreadsheets/d/1XL5vhW3sbDhbH9Cz0tuDiY8C3ctxq1tqvaCgkFb8cCA/edit?usp=sharing"",""เลย!M334"")"),30028.71)</f>
        <v>30028.71</v>
      </c>
      <c r="O439" s="169">
        <f t="shared" ca="1" si="114"/>
        <v>38.998324675324675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IFERROR(__xludf.DUMMYFUNCTION("IMPORTRANGE(""https://docs.google.com/spreadsheets/d/1XL5vhW3sbDhbH9Cz0tuDiY8C3ctxq1tqvaCgkFb8cCA/edit?usp=sharing"",""เลย!M335"")"),25780)</f>
        <v>25780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IFERROR(__xludf.DUMMYFUNCTION("IMPORTRANGE(""https://docs.google.com/spreadsheets/d/1XL5vhW3sbDhbH9Cz0tuDiY8C3ctxq1tqvaCgkFb8cCA/edit?usp=sharing"",""เลย!M338"")"),4248.71)</f>
        <v>4248.71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IFERROR(__xludf.DUMMYFUNCTION("IMPORTRANGE(""https://docs.google.com/spreadsheets/d/1XL5vhW3sbDhbH9Cz0tuDiY8C3ctxq1tqvaCgkFb8cCA/edit?usp=sharing"",""เลย!L350"")"),526736)</f>
        <v>526736</v>
      </c>
      <c r="M455" s="373"/>
      <c r="N455" s="373">
        <f ca="1">IFERROR(__xludf.DUMMYFUNCTION("IMPORTRANGE(""https://docs.google.com/spreadsheets/d/1XL5vhW3sbDhbH9Cz0tuDiY8C3ctxq1tqvaCgkFb8cCA/edit?usp=sharing"",""เลย!M350"")"),203116)</f>
        <v>203116</v>
      </c>
      <c r="O455" s="373">
        <f t="shared" ref="O455:O459" ca="1" si="116">+IF(L455&gt;0,N455*100/L455,0)</f>
        <v>38.561252695847635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IFERROR(__xludf.DUMMYFUNCTION("IMPORTRANGE(""https://docs.google.com/spreadsheets/d/1XL5vhW3sbDhbH9Cz0tuDiY8C3ctxq1tqvaCgkFb8cCA/edit?usp=sharing"",""เลย!L352"")"),526736)</f>
        <v>526736</v>
      </c>
      <c r="M457" s="165"/>
      <c r="N457" s="169">
        <f ca="1">IFERROR(__xludf.DUMMYFUNCTION("IMPORTRANGE(""https://docs.google.com/spreadsheets/d/1XL5vhW3sbDhbH9Cz0tuDiY8C3ctxq1tqvaCgkFb8cCA/edit?usp=sharing"",""เลย!M352"")"),203116)</f>
        <v>203116</v>
      </c>
      <c r="O457" s="169">
        <f t="shared" ca="1" si="116"/>
        <v>38.561252695847635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IFERROR(__xludf.DUMMYFUNCTION("IMPORTRANGE(""https://docs.google.com/spreadsheets/d/1XL5vhW3sbDhbH9Cz0tuDiY8C3ctxq1tqvaCgkFb8cCA/edit?usp=sharing"",""เลย!L354"")"),526736)</f>
        <v>526736</v>
      </c>
      <c r="M459" s="169"/>
      <c r="N459" s="169">
        <f ca="1">IFERROR(__xludf.DUMMYFUNCTION("IMPORTRANGE(""https://docs.google.com/spreadsheets/d/1XL5vhW3sbDhbH9Cz0tuDiY8C3ctxq1tqvaCgkFb8cCA/edit?usp=sharing"",""เลย!M354"")"),203116)</f>
        <v>203116</v>
      </c>
      <c r="O459" s="169">
        <f t="shared" ca="1" si="116"/>
        <v>38.561252695847635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IFERROR(__xludf.DUMMYFUNCTION("IMPORTRANGE(""https://docs.google.com/spreadsheets/d/1XL5vhW3sbDhbH9Cz0tuDiY8C3ctxq1tqvaCgkFb8cCA/edit?usp=sharing"",""เลย!M357"")"),74441)</f>
        <v>74441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IFERROR(__xludf.DUMMYFUNCTION("IMPORTRANGE(""https://docs.google.com/spreadsheets/d/1XL5vhW3sbDhbH9Cz0tuDiY8C3ctxq1tqvaCgkFb8cCA/edit?usp=sharing"",""เลย!M358"")"),128675)</f>
        <v>128675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IFERROR(__xludf.DUMMYFUNCTION("IMPORTRANGE(""https://docs.google.com/spreadsheets/d/1XL5vhW3sbDhbH9Cz0tuDiY8C3ctxq1tqvaCgkFb8cCA/edit?usp=sharing"",""เลย!J378"")"),55430)</f>
        <v>55430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IFERROR(__xludf.DUMMYFUNCTION("IMPORTRANGE(""https://docs.google.com/spreadsheets/d/1XL5vhW3sbDhbH9Cz0tuDiY8C3ctxq1tqvaCgkFb8cCA/edit?usp=sharing"",""เลย!J379"")"),5644)</f>
        <v>5644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IFERROR(__xludf.DUMMYFUNCTION("IMPORTRANGE(""https://docs.google.com/spreadsheets/d/1XL5vhW3sbDhbH9Cz0tuDiY8C3ctxq1tqvaCgkFb8cCA/edit?usp=sharing"",""เลย!J380"")"),475)</f>
        <v>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IFERROR(__xludf.DUMMYFUNCTION("IMPORTRANGE(""https://docs.google.com/spreadsheets/d/1XL5vhW3sbDhbH9Cz0tuDiY8C3ctxq1tqvaCgkFb8cCA/edit?usp=sharing"",""เลย!J381"")"),20)</f>
        <v>20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IFERROR(__xludf.DUMMYFUNCTION("IMPORTRANGE(""https://docs.google.com/spreadsheets/d/1XL5vhW3sbDhbH9Cz0tuDiY8C3ctxq1tqvaCgkFb8cCA/edit?usp=sharing"",""เลย!J397"")"),999)</f>
        <v>999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IFERROR(__xludf.DUMMYFUNCTION("IMPORTRANGE(""https://docs.google.com/spreadsheets/d/1XL5vhW3sbDhbH9Cz0tuDiY8C3ctxq1tqvaCgkFb8cCA/edit?usp=sharing"",""เลย!J398"")"),69)</f>
        <v>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IFERROR(__xludf.DUMMYFUNCTION("IMPORTRANGE(""https://docs.google.com/spreadsheets/d/1XL5vhW3sbDhbH9Cz0tuDiY8C3ctxq1tqvaCgkFb8cCA/edit?usp=sharing"",""เลย!J399"")"),643)</f>
        <v>643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IFERROR(__xludf.DUMMYFUNCTION("IMPORTRANGE(""https://docs.google.com/spreadsheets/d/1XL5vhW3sbDhbH9Cz0tuDiY8C3ctxq1tqvaCgkFb8cCA/edit?usp=sharing"",""เลย!J400"")"),52)</f>
        <v>52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8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39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IFERROR(__xludf.DUMMYFUNCTION("IMPORTRANGE(""https://docs.google.com/spreadsheets/d/1XL5vhW3sbDhbH9Cz0tuDiY8C3ctxq1tqvaCgkFb8cCA/edit?usp=sharing"",""เลย!I420"")"),0)</f>
        <v>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IFERROR(__xludf.DUMMYFUNCTION("IMPORTRANGE(""https://docs.google.com/spreadsheets/d/1XL5vhW3sbDhbH9Cz0tuDiY8C3ctxq1tqvaCgkFb8cCA/edit?usp=sharing"",""เลย!I421"")"),0)</f>
        <v>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IFERROR(__xludf.DUMMYFUNCTION("IMPORTRANGE(""https://docs.google.com/spreadsheets/d/1XL5vhW3sbDhbH9Cz0tuDiY8C3ctxq1tqvaCgkFb8cCA/edit?usp=sharing"",""เลย!M428"")"),24600)</f>
        <v>24600</v>
      </c>
      <c r="O533" s="412">
        <f t="shared" ref="O533:O537" ca="1" si="118">+IF(L533&gt;0,N533*100/L533,0)</f>
        <v>71.6365754222481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IFERROR(__xludf.DUMMYFUNCTION("IMPORTRANGE(""https://docs.google.com/spreadsheets/d/1XL5vhW3sbDhbH9Cz0tuDiY8C3ctxq1tqvaCgkFb8cCA/edit?usp=sharing"",""เลย!M430"")"),24600)</f>
        <v>24600</v>
      </c>
      <c r="O535" s="169">
        <f t="shared" ca="1" si="118"/>
        <v>71.6365754222481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IFERROR(__xludf.DUMMYFUNCTION("IMPORTRANGE(""https://docs.google.com/spreadsheets/d/1XL5vhW3sbDhbH9Cz0tuDiY8C3ctxq1tqvaCgkFb8cCA/edit?usp=sharing"",""เลย!M432"")"),24600)</f>
        <v>24600</v>
      </c>
      <c r="O537" s="169">
        <f t="shared" ca="1" si="118"/>
        <v>71.6365754222481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IFERROR(__xludf.DUMMYFUNCTION("IMPORTRANGE(""https://docs.google.com/spreadsheets/d/1XL5vhW3sbDhbH9Cz0tuDiY8C3ctxq1tqvaCgkFb8cCA/edit?usp=sharing"",""เลย!M436"")"),5860)</f>
        <v>5860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IFERROR(__xludf.DUMMYFUNCTION("IMPORTRANGE(""https://docs.google.com/spreadsheets/d/1XL5vhW3sbDhbH9Cz0tuDiY8C3ctxq1tqvaCgkFb8cCA/edit?usp=sharing"",""เลย!M446"")"),272400)</f>
        <v>272400</v>
      </c>
      <c r="O551" s="412">
        <f t="shared" ref="O551:O555" ca="1" si="120">+IF(L551&gt;0,N551*100/L551,0)</f>
        <v>87.870967741935488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IFERROR(__xludf.DUMMYFUNCTION("IMPORTRANGE(""https://docs.google.com/spreadsheets/d/1XL5vhW3sbDhbH9Cz0tuDiY8C3ctxq1tqvaCgkFb8cCA/edit?usp=sharing"",""เลย!M448"")"),272400)</f>
        <v>272400</v>
      </c>
      <c r="O553" s="169">
        <f t="shared" ca="1" si="120"/>
        <v>87.870967741935488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IFERROR(__xludf.DUMMYFUNCTION("IMPORTRANGE(""https://docs.google.com/spreadsheets/d/1XL5vhW3sbDhbH9Cz0tuDiY8C3ctxq1tqvaCgkFb8cCA/edit?usp=sharing"",""เลย!M450"")"),272400)</f>
        <v>272400</v>
      </c>
      <c r="O555" s="169">
        <f t="shared" ca="1" si="120"/>
        <v>87.870967741935488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IFERROR(__xludf.DUMMYFUNCTION("IMPORTRANGE(""https://docs.google.com/spreadsheets/d/1XL5vhW3sbDhbH9Cz0tuDiY8C3ctxq1tqvaCgkFb8cCA/edit?usp=sharing"",""เลย!M453"")"),70300)</f>
        <v>70300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IFERROR(__xludf.DUMMYFUNCTION("IMPORTRANGE(""https://docs.google.com/spreadsheets/d/1XL5vhW3sbDhbH9Cz0tuDiY8C3ctxq1tqvaCgkFb8cCA/edit?usp=sharing"",""เลย!J459"")"),5748)</f>
        <v>5748</v>
      </c>
      <c r="K564" s="372">
        <f ca="1">IF(I564&gt;0,J564*100/I564,0)</f>
        <v>169.05882352941177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IFERROR(__xludf.DUMMYFUNCTION("IMPORTRANGE(""https://docs.google.com/spreadsheets/d/1XL5vhW3sbDhbH9Cz0tuDiY8C3ctxq1tqvaCgkFb8cCA/edit?usp=sharing"",""เลย!M459"")"),121853)</f>
        <v>121853</v>
      </c>
      <c r="O564" s="373">
        <f t="shared" ref="O564:O568" ca="1" si="122">+IF(L564&gt;0,N564*100/L564,0)</f>
        <v>73.939927184466015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IFERROR(__xludf.DUMMYFUNCTION("IMPORTRANGE(""https://docs.google.com/spreadsheets/d/1XL5vhW3sbDhbH9Cz0tuDiY8C3ctxq1tqvaCgkFb8cCA/edit?usp=sharing"",""เลย!M461"")"),121853)</f>
        <v>121853</v>
      </c>
      <c r="O566" s="169">
        <f t="shared" ca="1" si="122"/>
        <v>73.939927184466015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IFERROR(__xludf.DUMMYFUNCTION("IMPORTRANGE(""https://docs.google.com/spreadsheets/d/1XL5vhW3sbDhbH9Cz0tuDiY8C3ctxq1tqvaCgkFb8cCA/edit?usp=sharing"",""เลย!M463"")"),121853)</f>
        <v>121853</v>
      </c>
      <c r="O568" s="169">
        <f t="shared" ca="1" si="122"/>
        <v>73.939927184466015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IFERROR(__xludf.DUMMYFUNCTION("IMPORTRANGE(""https://docs.google.com/spreadsheets/d/1XL5vhW3sbDhbH9Cz0tuDiY8C3ctxq1tqvaCgkFb8cCA/edit?usp=sharing"",""เลย!M466"")"),76266)</f>
        <v>76266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IFERROR(__xludf.DUMMYFUNCTION("IMPORTRANGE(""https://docs.google.com/spreadsheets/d/1XL5vhW3sbDhbH9Cz0tuDiY8C3ctxq1tqvaCgkFb8cCA/edit?usp=sharing"",""เลย!M467"")"),45587)</f>
        <v>45587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IFERROR(__xludf.DUMMYFUNCTION("IMPORTRANGE(""https://docs.google.com/spreadsheets/d/1XL5vhW3sbDhbH9Cz0tuDiY8C3ctxq1tqvaCgkFb8cCA/edit?usp=sharing"",""เลย!J468"")"),5748)</f>
        <v>5748</v>
      </c>
      <c r="K573" s="202">
        <f ca="1">IF(I573&gt;0,J573*100/I573,0)</f>
        <v>169.05882352941177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IFERROR(__xludf.DUMMYFUNCTION("IMPORTRANGE(""https://docs.google.com/spreadsheets/d/1XL5vhW3sbDhbH9Cz0tuDiY8C3ctxq1tqvaCgkFb8cCA/edit?usp=sharing"",""เลย!J472"")"),4910)</f>
        <v>4910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IFERROR(__xludf.DUMMYFUNCTION("IMPORTRANGE(""https://docs.google.com/spreadsheets/d/1XL5vhW3sbDhbH9Cz0tuDiY8C3ctxq1tqvaCgkFb8cCA/edit?usp=sharing"",""เลย!J473"")"),4)</f>
        <v>4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IFERROR(__xludf.DUMMYFUNCTION("IMPORTRANGE(""https://docs.google.com/spreadsheets/d/1XL5vhW3sbDhbH9Cz0tuDiY8C3ctxq1tqvaCgkFb8cCA/edit?usp=sharing"",""เลย!M475"")"),79879.54)</f>
        <v>79879.539999999994</v>
      </c>
      <c r="O580" s="373">
        <f t="shared" ref="O580:O584" ca="1" si="124">+IF(L580&gt;0,N580*100/L580,0)</f>
        <v>31.001917255297677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IFERROR(__xludf.DUMMYFUNCTION("IMPORTRANGE(""https://docs.google.com/spreadsheets/d/1XL5vhW3sbDhbH9Cz0tuDiY8C3ctxq1tqvaCgkFb8cCA/edit?usp=sharing"",""เลย!M477"")"),79879.54)</f>
        <v>79879.539999999994</v>
      </c>
      <c r="O582" s="169">
        <f t="shared" ca="1" si="124"/>
        <v>31.001917255297677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IFERROR(__xludf.DUMMYFUNCTION("IMPORTRANGE(""https://docs.google.com/spreadsheets/d/1XL5vhW3sbDhbH9Cz0tuDiY8C3ctxq1tqvaCgkFb8cCA/edit?usp=sharing"",""เลย!M479"")"),79879.54)</f>
        <v>79879.539999999994</v>
      </c>
      <c r="O584" s="169">
        <f t="shared" ca="1" si="124"/>
        <v>31.001917255297677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IFERROR(__xludf.DUMMYFUNCTION("IMPORTRANGE(""https://docs.google.com/spreadsheets/d/1XL5vhW3sbDhbH9Cz0tuDiY8C3ctxq1tqvaCgkFb8cCA/edit?usp=sharing"",""เลย!M482"")"),37037)</f>
        <v>37037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IFERROR(__xludf.DUMMYFUNCTION("IMPORTRANGE(""https://docs.google.com/spreadsheets/d/1XL5vhW3sbDhbH9Cz0tuDiY8C3ctxq1tqvaCgkFb8cCA/edit?usp=sharing"",""เลย!M483"")"),42842.54)</f>
        <v>42842.54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IFERROR(__xludf.DUMMYFUNCTION("IMPORTRANGE(""https://docs.google.com/spreadsheets/d/1XL5vhW3sbDhbH9Cz0tuDiY8C3ctxq1tqvaCgkFb8cCA/edit?usp=sharing"",""เลย!J484"")"),75)</f>
        <v>75</v>
      </c>
      <c r="K589" s="163">
        <f t="shared" ref="K589:K596" ca="1" si="125">IF(I589&gt;0,J589*100/I589,0)</f>
        <v>125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IFERROR(__xludf.DUMMYFUNCTION("IMPORTRANGE(""https://docs.google.com/spreadsheets/d/1XL5vhW3sbDhbH9Cz0tuDiY8C3ctxq1tqvaCgkFb8cCA/edit?usp=sharing"",""เลย!J485"")"),46.63)</f>
        <v>46.63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IFERROR(__xludf.DUMMYFUNCTION("IMPORTRANGE(""https://docs.google.com/spreadsheets/d/1XL5vhW3sbDhbH9Cz0tuDiY8C3ctxq1tqvaCgkFb8cCA/edit?usp=sharing"",""เลย!J486"")"),39)</f>
        <v>39</v>
      </c>
      <c r="K591" s="163">
        <f t="shared" ca="1" si="125"/>
        <v>65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IFERROR(__xludf.DUMMYFUNCTION("IMPORTRANGE(""https://docs.google.com/spreadsheets/d/1XL5vhW3sbDhbH9Cz0tuDiY8C3ctxq1tqvaCgkFb8cCA/edit?usp=sharing"",""เลย!J487"")"),34.17)</f>
        <v>34.17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IFERROR(__xludf.DUMMYFUNCTION("IMPORTRANGE(""https://docs.google.com/spreadsheets/d/1XL5vhW3sbDhbH9Cz0tuDiY8C3ctxq1tqvaCgkFb8cCA/edit?usp=sharing"",""เลย!M492"")"),900)</f>
        <v>900</v>
      </c>
      <c r="O597" s="412">
        <f t="shared" ref="O597:O601" ca="1" si="126">+IF(L597&gt;0,N597*100/L597,0)</f>
        <v>10.714285714285714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IFERROR(__xludf.DUMMYFUNCTION("IMPORTRANGE(""https://docs.google.com/spreadsheets/d/1XL5vhW3sbDhbH9Cz0tuDiY8C3ctxq1tqvaCgkFb8cCA/edit?usp=sharing"",""เลย!L494"")"),8400)</f>
        <v>8400</v>
      </c>
      <c r="M599" s="165"/>
      <c r="N599" s="169">
        <f ca="1">IFERROR(__xludf.DUMMYFUNCTION("IMPORTRANGE(""https://docs.google.com/spreadsheets/d/1XL5vhW3sbDhbH9Cz0tuDiY8C3ctxq1tqvaCgkFb8cCA/edit?usp=sharing"",""เลย!M494"")"),900)</f>
        <v>900</v>
      </c>
      <c r="O599" s="169">
        <f t="shared" ca="1" si="126"/>
        <v>10.714285714285714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IFERROR(__xludf.DUMMYFUNCTION("IMPORTRANGE(""https://docs.google.com/spreadsheets/d/1XL5vhW3sbDhbH9Cz0tuDiY8C3ctxq1tqvaCgkFb8cCA/edit?usp=sharing"",""เลย!L496"")"),8400)</f>
        <v>8400</v>
      </c>
      <c r="M601" s="169"/>
      <c r="N601" s="169">
        <f ca="1">IFERROR(__xludf.DUMMYFUNCTION("IMPORTRANGE(""https://docs.google.com/spreadsheets/d/1XL5vhW3sbDhbH9Cz0tuDiY8C3ctxq1tqvaCgkFb8cCA/edit?usp=sharing"",""เลย!M496"")"),900)</f>
        <v>900</v>
      </c>
      <c r="O601" s="169">
        <f t="shared" ca="1" si="126"/>
        <v>10.714285714285714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IFERROR(__xludf.DUMMYFUNCTION("IMPORTRANGE(""https://docs.google.com/spreadsheets/d/1XL5vhW3sbDhbH9Cz0tuDiY8C3ctxq1tqvaCgkFb8cCA/edit?usp=sharing"",""เลย!M500"")"),900)</f>
        <v>900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IFERROR(__xludf.DUMMYFUNCTION("IMPORTRANGE(""https://docs.google.com/spreadsheets/d/1XL5vhW3sbDhbH9Cz0tuDiY8C3ctxq1tqvaCgkFb8cCA/edit?usp=sharing"",""เลย!J166"")"),0)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IFERROR(__xludf.DUMMYFUNCTION("IMPORTRANGE(""https://docs.google.com/spreadsheets/d/1XL5vhW3sbDhbH9Cz0tuDiY8C3ctxq1tqvaCgkFb8cCA/edit?usp=sharing"",""เลย!J166"")"),0)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IFERROR(__xludf.DUMMYFUNCTION("IMPORTRANGE(""https://docs.google.com/spreadsheets/d/1XL5vhW3sbDhbH9Cz0tuDiY8C3ctxq1tqvaCgkFb8cCA/edit?usp=sharing"",""เลย!J507"")"),100)</f>
        <v>100</v>
      </c>
      <c r="K612" s="163">
        <f t="shared" ca="1" si="127"/>
        <v>83.333333333333329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IFERROR(__xludf.DUMMYFUNCTION("IMPORTRANGE(""https://docs.google.com/spreadsheets/d/1XL5vhW3sbDhbH9Cz0tuDiY8C3ctxq1tqvaCgkFb8cCA/edit?usp=sharing"",""เลย!J508"")"),100)</f>
        <v>100</v>
      </c>
      <c r="K613" s="163">
        <f t="shared" ca="1" si="127"/>
        <v>83.333333333333329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IFERROR(__xludf.DUMMYFUNCTION("IMPORTRANGE(""https://docs.google.com/spreadsheets/d/1XL5vhW3sbDhbH9Cz0tuDiY8C3ctxq1tqvaCgkFb8cCA/edit?usp=sharing"",""เลย!J509"")"),100)</f>
        <v>100</v>
      </c>
      <c r="K614" s="163">
        <f t="shared" ca="1" si="127"/>
        <v>83.333333333333329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IFERROR(__xludf.DUMMYFUNCTION("IMPORTRANGE(""https://docs.google.com/spreadsheets/d/1XL5vhW3sbDhbH9Cz0tuDiY8C3ctxq1tqvaCgkFb8cCA/edit?usp=sharing"",""เลย!J510"")"),100)</f>
        <v>100</v>
      </c>
      <c r="K615" s="163">
        <f t="shared" ca="1" si="127"/>
        <v>83.333333333333329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IFERROR(__xludf.DUMMYFUNCTION("IMPORTRANGE(""https://docs.google.com/spreadsheets/d/1XL5vhW3sbDhbH9Cz0tuDiY8C3ctxq1tqvaCgkFb8cCA/edit?usp=sharing"",""เลย!J523"")"),12372295.49)</f>
        <v>12372295.49</v>
      </c>
      <c r="K628" s="343">
        <f t="shared" ref="K628:K635" ca="1" si="129">IF(I628&gt;0,J628*100/I628,0)</f>
        <v>86.045560831932377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IFERROR(__xludf.DUMMYFUNCTION("IMPORTRANGE(""https://docs.google.com/spreadsheets/d/1XL5vhW3sbDhbH9Cz0tuDiY8C3ctxq1tqvaCgkFb8cCA/edit?usp=sharing"",""เลย!J524"")"),260)</f>
        <v>260</v>
      </c>
      <c r="K629" s="343">
        <f t="shared" ca="1" si="129"/>
        <v>86.092715231788077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IFERROR(__xludf.DUMMYFUNCTION("IMPORTRANGE(""https://docs.google.com/spreadsheets/d/1XL5vhW3sbDhbH9Cz0tuDiY8C3ctxq1tqvaCgkFb8cCA/edit?usp=sharing"",""เลย!J525"")"),2055260.17)</f>
        <v>2055260.17</v>
      </c>
      <c r="K630" s="343">
        <f t="shared" ca="1" si="129"/>
        <v>11.408886481341877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IFERROR(__xludf.DUMMYFUNCTION("IMPORTRANGE(""https://docs.google.com/spreadsheets/d/1XL5vhW3sbDhbH9Cz0tuDiY8C3ctxq1tqvaCgkFb8cCA/edit?usp=sharing"",""เลย!J526"")"),235)</f>
        <v>235</v>
      </c>
      <c r="K631" s="343">
        <f t="shared" ca="1" si="129"/>
        <v>46.078431372549019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IFERROR(__xludf.DUMMYFUNCTION("IMPORTRANGE(""https://docs.google.com/spreadsheets/d/1XL5vhW3sbDhbH9Cz0tuDiY8C3ctxq1tqvaCgkFb8cCA/edit?usp=sharing"",""เลย!I529"")"),12000000)</f>
        <v>12000000</v>
      </c>
      <c r="J634" s="342">
        <f ca="1">IFERROR(__xludf.DUMMYFUNCTION("IMPORTRANGE(""https://docs.google.com/spreadsheets/d/1XL5vhW3sbDhbH9Cz0tuDiY8C3ctxq1tqvaCgkFb8cCA/edit?usp=sharing"",""เลย!J529"")"),11900000)</f>
        <v>11900000</v>
      </c>
      <c r="K634" s="343">
        <f t="shared" ca="1" si="129"/>
        <v>99.166666666666671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IFERROR(__xludf.DUMMYFUNCTION("IMPORTRANGE(""https://docs.google.com/spreadsheets/d/1XL5vhW3sbDhbH9Cz0tuDiY8C3ctxq1tqvaCgkFb8cCA/edit?usp=sharing"",""เลย!J530"")"),238)</f>
        <v>238</v>
      </c>
      <c r="K635" s="486">
        <f t="shared" ca="1" si="129"/>
        <v>95.2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IFERROR(__xludf.DUMMYFUNCTION("IMPORTRANGE(""https://docs.google.com/spreadsheets/d/1XL5vhW3sbDhbH9Cz0tuDiY8C3ctxq1tqvaCgkFb8cCA/edit#gid=346597447"",""เลย!J541"")"),0)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IFERROR(__xludf.DUMMYFUNCTION("IMPORTRANGE(""https://docs.google.com/spreadsheets/d/1XL5vhW3sbDhbH9Cz0tuDiY8C3ctxq1tqvaCgkFb8cCA/edit#gid=346597447"",""เลย!J542"")"),0)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IFERROR(__xludf.DUMMYFUNCTION("IMPORTRANGE(""https://docs.google.com/spreadsheets/d/1XL5vhW3sbDhbH9Cz0tuDiY8C3ctxq1tqvaCgkFb8cCA/edit#gid=346597447"",""เลย!I543"")"),0)</f>
        <v>0</v>
      </c>
      <c r="J648" s="585">
        <f ca="1">IFERROR(__xludf.DUMMYFUNCTION("IMPORTRANGE(""https://docs.google.com/spreadsheets/d/1XL5vhW3sbDhbH9Cz0tuDiY8C3ctxq1tqvaCgkFb8cCA/edit#gid=346597447"",""เลย!J543"")"),0)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IFERROR(__xludf.DUMMYFUNCTION("IMPORTRANGE(""https://docs.google.com/spreadsheets/d/1XL5vhW3sbDhbH9Cz0tuDiY8C3ctxq1tqvaCgkFb8cCA/edit#gid=346597447"",""เลย!L543"")"),0)</f>
        <v>0</v>
      </c>
      <c r="M648" s="570"/>
      <c r="N648" s="587">
        <f ca="1">IFERROR(__xludf.DUMMYFUNCTION("IMPORTRANGE(""https://docs.google.com/spreadsheets/d/1XL5vhW3sbDhbH9Cz0tuDiY8C3ctxq1tqvaCgkFb8cCA/edit#gid=346597447"",""เลย!M543"")"),0)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IFERROR(__xludf.DUMMYFUNCTION("IMPORTRANGE(""https://docs.google.com/spreadsheets/d/1XL5vhW3sbDhbH9Cz0tuDiY8C3ctxq1tqvaCgkFb8cCA/edit#gid=346597447"",""เลย!I544"")"),0)</f>
        <v>0</v>
      </c>
      <c r="J649" s="585">
        <f ca="1">IFERROR(__xludf.DUMMYFUNCTION("IMPORTRANGE(""https://docs.google.com/spreadsheets/d/1XL5vhW3sbDhbH9Cz0tuDiY8C3ctxq1tqvaCgkFb8cCA/edit#gid=346597447"",""เลย!J544"")"),0)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IFERROR(__xludf.DUMMYFUNCTION("IMPORTRANGE(""https://docs.google.com/spreadsheets/d/1XL5vhW3sbDhbH9Cz0tuDiY8C3ctxq1tqvaCgkFb8cCA/edit#gid=346597447"",""เลย!L544"")"),0)</f>
        <v>0</v>
      </c>
      <c r="M649" s="570"/>
      <c r="N649" s="587">
        <f ca="1">IFERROR(__xludf.DUMMYFUNCTION("IMPORTRANGE(""https://docs.google.com/spreadsheets/d/1XL5vhW3sbDhbH9Cz0tuDiY8C3ctxq1tqvaCgkFb8cCA/edit#gid=346597447"",""เลย!M544"")"),0)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IFERROR(__xludf.DUMMYFUNCTION("IMPORTRANGE(""https://docs.google.com/spreadsheets/d/1XL5vhW3sbDhbH9Cz0tuDiY8C3ctxq1tqvaCgkFb8cCA/edit#gid=346597447"",""เลย!I545"")"),0)</f>
        <v>0</v>
      </c>
      <c r="J650" s="585">
        <f ca="1">IFERROR(__xludf.DUMMYFUNCTION("IMPORTRANGE(""https://docs.google.com/spreadsheets/d/1XL5vhW3sbDhbH9Cz0tuDiY8C3ctxq1tqvaCgkFb8cCA/edit#gid=346597447"",""เลย!J545"")"),0)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IFERROR(__xludf.DUMMYFUNCTION("IMPORTRANGE(""https://docs.google.com/spreadsheets/d/1XL5vhW3sbDhbH9Cz0tuDiY8C3ctxq1tqvaCgkFb8cCA/edit#gid=346597447"",""เลย!L545"")"),0)</f>
        <v>0</v>
      </c>
      <c r="M650" s="570"/>
      <c r="N650" s="587">
        <f ca="1">IFERROR(__xludf.DUMMYFUNCTION("IMPORTRANGE(""https://docs.google.com/spreadsheets/d/1XL5vhW3sbDhbH9Cz0tuDiY8C3ctxq1tqvaCgkFb8cCA/edit#gid=346597447"",""เลย!M545"")"),0)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IFERROR(__xludf.DUMMYFUNCTION("IMPORTRANGE(""https://docs.google.com/spreadsheets/d/1XL5vhW3sbDhbH9Cz0tuDiY8C3ctxq1tqvaCgkFb8cCA/edit#gid=346597447"",""เลย!I546"")"),0)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IFERROR(__xludf.DUMMYFUNCTION("IMPORTRANGE(""https://docs.google.com/spreadsheets/d/1XL5vhW3sbDhbH9Cz0tuDiY8C3ctxq1tqvaCgkFb8cCA/edit#gid=346597447"",""เลย!L546"")"),0)</f>
        <v>0</v>
      </c>
      <c r="M651" s="570"/>
      <c r="N651" s="587">
        <f ca="1">IFERROR(__xludf.DUMMYFUNCTION("IMPORTRANGE(""https://docs.google.com/spreadsheets/d/1XL5vhW3sbDhbH9Cz0tuDiY8C3ctxq1tqvaCgkFb8cCA/edit#gid=346597447"",""เลย!M546"")"),0)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IFERROR(__xludf.DUMMYFUNCTION("IMPORTRANGE(""https://docs.google.com/spreadsheets/d/1XL5vhW3sbDhbH9Cz0tuDiY8C3ctxq1tqvaCgkFb8cCA/edit#gid=346597447"",""เลย!J547"")"),0)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IFERROR(__xludf.DUMMYFUNCTION("IMPORTRANGE(""https://docs.google.com/spreadsheets/d/1XL5vhW3sbDhbH9Cz0tuDiY8C3ctxq1tqvaCgkFb8cCA/edit#gid=346597447"",""เลย!J548"")"),0)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IFERROR(__xludf.DUMMYFUNCTION("IMPORTRANGE(""https://docs.google.com/spreadsheets/d/1XL5vhW3sbDhbH9Cz0tuDiY8C3ctxq1tqvaCgkFb8cCA/edit#gid=346597447"",""เลย!J550"")"),0)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IFERROR(__xludf.DUMMYFUNCTION("IMPORTRANGE(""https://docs.google.com/spreadsheets/d/1XL5vhW3sbDhbH9Cz0tuDiY8C3ctxq1tqvaCgkFb8cCA/edit#gid=346597447"",""เลย!J551"")"),0)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IFERROR(__xludf.DUMMYFUNCTION("IMPORTRANGE(""https://docs.google.com/spreadsheets/d/1XL5vhW3sbDhbH9Cz0tuDiY8C3ctxq1tqvaCgkFb8cCA/edit#gid=346597447"",""เลย!J552"")"),0)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IFERROR(__xludf.DUMMYFUNCTION("IMPORTRANGE(""https://docs.google.com/spreadsheets/d/1XL5vhW3sbDhbH9Cz0tuDiY8C3ctxq1tqvaCgkFb8cCA/edit#gid=346597447"",""เลย!J553"")"),0)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IFERROR(__xludf.DUMMYFUNCTION("IMPORTRANGE(""https://docs.google.com/spreadsheets/d/1XL5vhW3sbDhbH9Cz0tuDiY8C3ctxq1tqvaCgkFb8cCA/edit#gid=346597447"",""เลย!J554"")"),0)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IFERROR(__xludf.DUMMYFUNCTION("IMPORTRANGE(""https://docs.google.com/spreadsheets/d/1XL5vhW3sbDhbH9Cz0tuDiY8C3ctxq1tqvaCgkFb8cCA/edit#gid=346597447"",""เลย!J555"")"),0)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IFERROR(__xludf.DUMMYFUNCTION("IMPORTRANGE(""https://docs.google.com/spreadsheets/d/1XL5vhW3sbDhbH9Cz0tuDiY8C3ctxq1tqvaCgkFb8cCA/edit#gid=346597447"",""เลย!J556"")"),0)</f>
        <v>0</v>
      </c>
      <c r="K661" s="586"/>
      <c r="L661" s="571">
        <f ca="1">IFERROR(__xludf.DUMMYFUNCTION("IMPORTRANGE(""https://docs.google.com/spreadsheets/d/1XL5vhW3sbDhbH9Cz0tuDiY8C3ctxq1tqvaCgkFb8cCA/edit#gid=346597447"",""เลย!L556"")"),0)</f>
        <v>0</v>
      </c>
      <c r="M661" s="570"/>
      <c r="N661" s="587">
        <f ca="1">IFERROR(__xludf.DUMMYFUNCTION("IMPORTRANGE(""https://docs.google.com/spreadsheets/d/1XL5vhW3sbDhbH9Cz0tuDiY8C3ctxq1tqvaCgkFb8cCA/edit#gid=346597447"",""เลย!M556"")"),0)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IFERROR(__xludf.DUMMYFUNCTION("IMPORTRANGE(""https://docs.google.com/spreadsheets/d/1XL5vhW3sbDhbH9Cz0tuDiY8C3ctxq1tqvaCgkFb8cCA/edit#gid=346597447"",""เลย!J557"")"),0)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IFERROR(__xludf.DUMMYFUNCTION("IMPORTRANGE(""https://docs.google.com/spreadsheets/d/1XL5vhW3sbDhbH9Cz0tuDiY8C3ctxq1tqvaCgkFb8cCA/edit#gid=346597447"",""เลย!I558"")"),0)</f>
        <v>0</v>
      </c>
      <c r="J663" s="585">
        <f ca="1">IFERROR(__xludf.DUMMYFUNCTION("IMPORTRANGE(""https://docs.google.com/spreadsheets/d/1XL5vhW3sbDhbH9Cz0tuDiY8C3ctxq1tqvaCgkFb8cCA/edit#gid=346597447"",""เลย!J558"")"),0)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IFERROR(__xludf.DUMMYFUNCTION("IMPORTRANGE(""https://docs.google.com/spreadsheets/d/1XL5vhW3sbDhbH9Cz0tuDiY8C3ctxq1tqvaCgkFb8cCA/edit#gid=346597447"",""เลย!I560"")"),0)</f>
        <v>0</v>
      </c>
      <c r="J665" s="585">
        <f ca="1">IFERROR(__xludf.DUMMYFUNCTION("IMPORTRANGE(""https://docs.google.com/spreadsheets/d/1XL5vhW3sbDhbH9Cz0tuDiY8C3ctxq1tqvaCgkFb8cCA/edit#gid=346597447"",""เลย!J560"")"),0)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IFERROR(__xludf.DUMMYFUNCTION("IMPORTRANGE(""https://docs.google.com/spreadsheets/d/1XL5vhW3sbDhbH9Cz0tuDiY8C3ctxq1tqvaCgkFb8cCA/edit#gid=346597447"",""เลย!L560"")"),0)</f>
        <v>0</v>
      </c>
      <c r="M665" s="570"/>
      <c r="N665" s="587">
        <f ca="1">IFERROR(__xludf.DUMMYFUNCTION("IMPORTRANGE(""https://docs.google.com/spreadsheets/d/1XL5vhW3sbDhbH9Cz0tuDiY8C3ctxq1tqvaCgkFb8cCA/edit#gid=346597447"",""เลย!M560"")"),0)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IFERROR(__xludf.DUMMYFUNCTION("IMPORTRANGE(""https://docs.google.com/spreadsheets/d/1XL5vhW3sbDhbH9Cz0tuDiY8C3ctxq1tqvaCgkFb8cCA/edit#gid=346597447"",""เลย!J561"")"),0)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IFERROR(__xludf.DUMMYFUNCTION("IMPORTRANGE(""https://docs.google.com/spreadsheets/d/1XL5vhW3sbDhbH9Cz0tuDiY8C3ctxq1tqvaCgkFb8cCA/edit#gid=346597447"",""เลย!J562"")"),0)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IFERROR(__xludf.DUMMYFUNCTION("IMPORTRANGE(""https://docs.google.com/spreadsheets/d/1XL5vhW3sbDhbH9Cz0tuDiY8C3ctxq1tqvaCgkFb8cCA/edit#gid=346597447"",""เลย!I563"")"),0)</f>
        <v>0</v>
      </c>
      <c r="J668" s="585">
        <f ca="1">IFERROR(__xludf.DUMMYFUNCTION("IMPORTRANGE(""https://docs.google.com/spreadsheets/d/1XL5vhW3sbDhbH9Cz0tuDiY8C3ctxq1tqvaCgkFb8cCA/edit#gid=346597447"",""เลย!J563"")"),0)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IFERROR(__xludf.DUMMYFUNCTION("IMPORTRANGE(""https://docs.google.com/spreadsheets/d/1XL5vhW3sbDhbH9Cz0tuDiY8C3ctxq1tqvaCgkFb8cCA/edit#gid=346597447"",""เลย!L563"")"),0)</f>
        <v>0</v>
      </c>
      <c r="M668" s="570"/>
      <c r="N668" s="587">
        <f ca="1">IFERROR(__xludf.DUMMYFUNCTION("IMPORTRANGE(""https://docs.google.com/spreadsheets/d/1XL5vhW3sbDhbH9Cz0tuDiY8C3ctxq1tqvaCgkFb8cCA/edit#gid=346597447"",""เลย!M563"")"),0)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IFERROR(__xludf.DUMMYFUNCTION("IMPORTRANGE(""https://docs.google.com/spreadsheets/d/1XL5vhW3sbDhbH9Cz0tuDiY8C3ctxq1tqvaCgkFb8cCA/edit#gid=346597447"",""เลย!J564"")"),0)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IFERROR(__xludf.DUMMYFUNCTION("IMPORTRANGE(""https://docs.google.com/spreadsheets/d/1XL5vhW3sbDhbH9Cz0tuDiY8C3ctxq1tqvaCgkFb8cCA/edit#gid=346597447"",""เลย!J565"")"),0)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IFERROR(__xludf.DUMMYFUNCTION("IMPORTRANGE(""https://docs.google.com/spreadsheets/d/1XL5vhW3sbDhbH9Cz0tuDiY8C3ctxq1tqvaCgkFb8cCA/edit#gid=346597447"",""เลย!I566"")"),0)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IFERROR(__xludf.DUMMYFUNCTION("IMPORTRANGE(""https://docs.google.com/spreadsheets/d/1XL5vhW3sbDhbH9Cz0tuDiY8C3ctxq1tqvaCgkFb8cCA/edit#gid=346597447"",""เลย!L566"")"),0)</f>
        <v>0</v>
      </c>
      <c r="M671" s="570"/>
      <c r="N671" s="587">
        <f ca="1">IFERROR(__xludf.DUMMYFUNCTION("IMPORTRANGE(""https://docs.google.com/spreadsheets/d/1XL5vhW3sbDhbH9Cz0tuDiY8C3ctxq1tqvaCgkFb8cCA/edit#gid=346597447"",""เลย!M566"")"),0)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IFERROR(__xludf.DUMMYFUNCTION("IMPORTRANGE(""https://docs.google.com/spreadsheets/d/1XL5vhW3sbDhbH9Cz0tuDiY8C3ctxq1tqvaCgkFb8cCA/edit#gid=346597447"",""เลย!J567"")"),0)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IFERROR(__xludf.DUMMYFUNCTION("IMPORTRANGE(""https://docs.google.com/spreadsheets/d/1XL5vhW3sbDhbH9Cz0tuDiY8C3ctxq1tqvaCgkFb8cCA/edit#gid=346597447"",""เลย!J568"")"),0)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IFERROR(__xludf.DUMMYFUNCTION("IMPORTRANGE(""https://docs.google.com/spreadsheets/d/1XL5vhW3sbDhbH9Cz0tuDiY8C3ctxq1tqvaCgkFb8cCA/edit#gid=346597447"",""เลย!J569"")"),0)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IFERROR(__xludf.DUMMYFUNCTION("IMPORTRANGE(""https://docs.google.com/spreadsheets/d/1XL5vhW3sbDhbH9Cz0tuDiY8C3ctxq1tqvaCgkFb8cCA/edit#gid=346597447"",""เลย!J570"")"),0)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IFERROR(__xludf.DUMMYFUNCTION("IMPORTRANGE(""https://docs.google.com/spreadsheets/d/1XL5vhW3sbDhbH9Cz0tuDiY8C3ctxq1tqvaCgkFb8cCA/edit#gid=346597447"",""เลย!J571"")"),0)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IFERROR(__xludf.DUMMYFUNCTION("IMPORTRANGE(""https://docs.google.com/spreadsheets/d/1XL5vhW3sbDhbH9Cz0tuDiY8C3ctxq1tqvaCgkFb8cCA/edit#gid=346597447"",""เลย!J572"")"),0)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14062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8662716</v>
      </c>
      <c r="M8" s="23">
        <f t="shared" ca="1" si="0"/>
        <v>4738244</v>
      </c>
      <c r="N8" s="23">
        <f t="shared" ca="1" si="0"/>
        <v>5369882.2499999991</v>
      </c>
      <c r="O8" s="22">
        <f t="shared" ref="O8:O16" ca="1" si="1">IF(L8&gt;0,N8*100/L8,0)</f>
        <v>61.988436998280896</v>
      </c>
      <c r="P8" s="22">
        <f t="shared" ref="P8:P16" ca="1" si="2">IF(M8&gt;0,N8*100/M8,0)</f>
        <v>113.3306400008104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8662716</v>
      </c>
      <c r="M10" s="30">
        <f t="shared" ca="1" si="4"/>
        <v>4738244</v>
      </c>
      <c r="N10" s="30">
        <f t="shared" ca="1" si="4"/>
        <v>5369882.2499999991</v>
      </c>
      <c r="O10" s="29">
        <f t="shared" ca="1" si="1"/>
        <v>61.988436998280896</v>
      </c>
      <c r="P10" s="29">
        <f t="shared" ca="1" si="2"/>
        <v>113.3306400008104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7725716</v>
      </c>
      <c r="M12" s="38">
        <f t="shared" ca="1" si="6"/>
        <v>3801244</v>
      </c>
      <c r="N12" s="38">
        <f t="shared" ca="1" si="6"/>
        <v>4432882.2499999991</v>
      </c>
      <c r="O12" s="38">
        <f t="shared" ca="1" si="1"/>
        <v>57.37827082952569</v>
      </c>
      <c r="P12" s="38">
        <f t="shared" ca="1" si="2"/>
        <v>116.61661945405238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5372216</v>
      </c>
      <c r="M14" s="38">
        <f t="shared" si="8"/>
        <v>0</v>
      </c>
      <c r="N14" s="38">
        <f t="shared" ca="1" si="8"/>
        <v>1477862.209999999</v>
      </c>
      <c r="O14" s="38">
        <f t="shared" ca="1" si="1"/>
        <v>27.509359452412173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5482895</v>
      </c>
      <c r="M18" s="23">
        <f t="shared" ca="1" si="11"/>
        <v>4738244</v>
      </c>
      <c r="N18" s="23">
        <f t="shared" ca="1" si="11"/>
        <v>3892020.04</v>
      </c>
      <c r="O18" s="22">
        <f t="shared" ref="O18:O20" ca="1" si="12">IF(L18&gt;0,N18*100/L18,0)</f>
        <v>70.984763341264056</v>
      </c>
      <c r="P18" s="22">
        <f t="shared" ref="P18:P26" ca="1" si="13">IF(M18&gt;0,N18*100/M18,0)</f>
        <v>82.140557556765756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5482895</v>
      </c>
      <c r="M20" s="30">
        <f t="shared" ca="1" si="15"/>
        <v>4738244</v>
      </c>
      <c r="N20" s="30">
        <f t="shared" ca="1" si="15"/>
        <v>3892020.04</v>
      </c>
      <c r="O20" s="29">
        <f t="shared" ca="1" si="12"/>
        <v>70.984763341264056</v>
      </c>
      <c r="P20" s="29">
        <f t="shared" ca="1" si="13"/>
        <v>82.140557556765756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4545895</v>
      </c>
      <c r="M22" s="41">
        <f t="shared" ca="1" si="18"/>
        <v>3801244</v>
      </c>
      <c r="N22" s="38">
        <f t="shared" ca="1" si="18"/>
        <v>2955020.04</v>
      </c>
      <c r="O22" s="38">
        <f t="shared" ca="1" si="17"/>
        <v>65.004141978642267</v>
      </c>
      <c r="P22" s="38">
        <f t="shared" ca="1" si="13"/>
        <v>77.738236219511293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2192395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3179821</v>
      </c>
      <c r="M28" s="23">
        <f t="shared" si="23"/>
        <v>0</v>
      </c>
      <c r="N28" s="23">
        <f t="shared" ca="1" si="23"/>
        <v>1477862.209999999</v>
      </c>
      <c r="O28" s="22">
        <f t="shared" ref="O28:O30" ca="1" si="24">IF(L28&gt;0,N28*100/L28,0)</f>
        <v>46.47627051962985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3179821</v>
      </c>
      <c r="M30" s="30">
        <f t="shared" si="27"/>
        <v>0</v>
      </c>
      <c r="N30" s="30">
        <f t="shared" ca="1" si="27"/>
        <v>1477862.209999999</v>
      </c>
      <c r="O30" s="29">
        <f t="shared" ca="1" si="24"/>
        <v>46.47627051962985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3179821</v>
      </c>
      <c r="M32" s="38">
        <f t="shared" si="30"/>
        <v>0</v>
      </c>
      <c r="N32" s="38">
        <f t="shared" ca="1" si="30"/>
        <v>1477862.209999999</v>
      </c>
      <c r="O32" s="38">
        <f t="shared" ca="1" si="29"/>
        <v>46.47627051962985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3179821</v>
      </c>
      <c r="M34" s="38">
        <f t="shared" si="32"/>
        <v>0</v>
      </c>
      <c r="N34" s="38">
        <f t="shared" ca="1" si="32"/>
        <v>1477862.209999999</v>
      </c>
      <c r="O34" s="38">
        <f t="shared" ca="1" si="29"/>
        <v>46.47627051962985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5482895</v>
      </c>
      <c r="M37" s="54">
        <f t="shared" ca="1" si="33"/>
        <v>4738244</v>
      </c>
      <c r="N37" s="54">
        <f t="shared" ca="1" si="33"/>
        <v>3892020.04</v>
      </c>
      <c r="O37" s="55">
        <f t="shared" ca="1" si="29"/>
        <v>70.984763341264056</v>
      </c>
      <c r="P37" s="55">
        <f t="shared" ca="1" si="25"/>
        <v>82.140557556765756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1545600</v>
      </c>
      <c r="N41" s="78">
        <f t="shared" ca="1" si="34"/>
        <v>1465492.6600000001</v>
      </c>
      <c r="O41" s="77">
        <f t="shared" ref="O41:O43" ca="1" si="35">IF(L41&gt;0,N41*100/L41,0)</f>
        <v>83.546699732056325</v>
      </c>
      <c r="P41" s="77">
        <f t="shared" ref="P41:P43" ca="1" si="36">IF(M41&gt;0,N41*100/M41,0)</f>
        <v>94.8170716873706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1545600</v>
      </c>
      <c r="N43" s="78">
        <f t="shared" ca="1" si="38"/>
        <v>1465492.6600000001</v>
      </c>
      <c r="O43" s="77">
        <f t="shared" ca="1" si="35"/>
        <v>83.546699732056325</v>
      </c>
      <c r="P43" s="77">
        <f t="shared" ca="1" si="36"/>
        <v>94.8170716873706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2">
        <f ca="1">IFERROR(__xludf.DUMMYFUNCTION("IMPORTRANGE(""https://docs.google.com/spreadsheets/d/1Yj_ptqi66GCucihVvJfMjLAmec39IyEx_6qawtMGysU/edit?usp=sharing"",""สบก!Q50"")"),625600)</f>
        <v>625600</v>
      </c>
      <c r="N45" s="622">
        <f ca="1">IFERROR(__xludf.DUMMYFUNCTION("IMPORTRANGE(""https://docs.google.com/spreadsheets/d/1Yj_ptqi66GCucihVvJfMjLAmec39IyEx_6qawtMGysU/edit?usp=sharing"",""สบก!R50"")"),545492.66)</f>
        <v>545492.66</v>
      </c>
      <c r="O45" s="623">
        <f ca="1">IF(L45&gt;0,N45*100/L45,0)</f>
        <v>65.398952164009117</v>
      </c>
      <c r="P45" s="623">
        <f ca="1">IF(M45&gt;0,N45*100/M45,0)</f>
        <v>87.195118286445009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IFERROR(__xludf.DUMMYFUNCTION("IMPORTRANGE(""https://docs.google.com/spreadsheets/d/1Yj_ptqi66GCucihVvJfMjLAmec39IyEx_6qawtMGysU/edit?usp=sharing"",""สบก!M50"")"),834100)</f>
        <v>834100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IFERROR(__xludf.DUMMYFUNCTION("IMPORTRANGE(""https://docs.google.com/spreadsheets/d/1Yj_ptqi66GCucihVvJfMjLAmec39IyEx_6qawtMGysU/edit?usp=sharing"",""สบก!N50"")"),0)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IFERROR(__xludf.DUMMYFUNCTION("IMPORTRANGE(""https://docs.google.com/spreadsheets/d/1Yj_ptqi66GCucihVvJfMjLAmec39IyEx_6qawtMGysU/edit?usp=sharing"",""สบก!O50"")"),920000)</f>
        <v>920000</v>
      </c>
      <c r="M49" s="625">
        <f ca="1">L49</f>
        <v>920000</v>
      </c>
      <c r="N49" s="622">
        <f ca="1">IFERROR(__xludf.DUMMYFUNCTION("IMPORTRANGE(""https://docs.google.com/spreadsheets/d/1Yj_ptqi66GCucihVvJfMjLAmec39IyEx_6qawtMGysU/edit?usp=sharing"",""สบก!S50"")"),920000)</f>
        <v>920000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543564</v>
      </c>
      <c r="N53" s="121">
        <f t="shared" ca="1" si="39"/>
        <v>530792.36</v>
      </c>
      <c r="O53" s="120">
        <f t="shared" ref="O53:O55" ca="1" si="40">IF(L53&gt;0,N53*100/L53,0)</f>
        <v>77.194933100639901</v>
      </c>
      <c r="P53" s="120">
        <f t="shared" ref="P53:P55" ca="1" si="41">IF(M53&gt;0,N53*100/M53,0)</f>
        <v>97.650388914644822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543564</v>
      </c>
      <c r="N55" s="121">
        <f t="shared" ca="1" si="43"/>
        <v>530792.36</v>
      </c>
      <c r="O55" s="120">
        <f t="shared" ca="1" si="40"/>
        <v>77.194933100639901</v>
      </c>
      <c r="P55" s="120">
        <f t="shared" ca="1" si="41"/>
        <v>97.650388914644822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622">
        <f ca="1">IFERROR(__xludf.DUMMYFUNCTION("IMPORTRANGE(""https://docs.google.com/spreadsheets/d/1Yj_ptqi66GCucihVvJfMjLAmec39IyEx_6qawtMGysU/edit?usp=sharing"",""สบก!Z50"")"),543564)</f>
        <v>543564</v>
      </c>
      <c r="N57" s="622">
        <f ca="1">IFERROR(__xludf.DUMMYFUNCTION("IMPORTRANGE(""https://docs.google.com/spreadsheets/d/1Yj_ptqi66GCucihVvJfMjLAmec39IyEx_6qawtMGysU/edit?usp=sharing"",""สบก!AA50"")"),530792.36)</f>
        <v>530792.36</v>
      </c>
      <c r="O57" s="623">
        <f ca="1">IF(L57&gt;0,N57*100/L57,0)</f>
        <v>77.194933100639901</v>
      </c>
      <c r="P57" s="623">
        <f ca="1">IF(M57&gt;0,N57*100/M57,0)</f>
        <v>97.650388914644822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IFERROR(__xludf.DUMMYFUNCTION("IMPORTRANGE(""https://docs.google.com/spreadsheets/d/1Yj_ptqi66GCucihVvJfMjLAmec39IyEx_6qawtMGysU/edit?usp=sharing"",""สบก!V50"")"),687600)</f>
        <v>687600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IFERROR(__xludf.DUMMYFUNCTION("IMPORTRANGE(""https://docs.google.com/spreadsheets/d/1Yj_ptqi66GCucihVvJfMjLAmec39IyEx_6qawtMGysU/edit?usp=sharing"",""สบก!W50"")"),0)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IFERROR(__xludf.DUMMYFUNCTION("IMPORTRANGE(""https://docs.google.com/spreadsheets/d/1Yj_ptqi66GCucihVvJfMjLAmec39IyEx_6qawtMGysU/edit?usp=sharing"",""สบก!X50"")"),0)</f>
        <v>0</v>
      </c>
      <c r="M61" s="625"/>
      <c r="N61" s="622">
        <f ca="1">IFERROR(__xludf.DUMMYFUNCTION("IMPORTRANGE(""https://docs.google.com/spreadsheets/d/1Yj_ptqi66GCucihVvJfMjLAmec39IyEx_6qawtMGysU/edit?usp=sharing"",""สบก!AB50"")"),0)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861920</v>
      </c>
      <c r="N66" s="152">
        <f t="shared" ca="1" si="45"/>
        <v>722451.64</v>
      </c>
      <c r="O66" s="151">
        <f t="shared" ref="O66:O68" ca="1" si="46">IF(L66&gt;0,N66*100/L66,0)</f>
        <v>77.968016404057849</v>
      </c>
      <c r="P66" s="151">
        <f t="shared" ref="P66:P68" ca="1" si="47">IF(M66&gt;0,N66*100/M66,0)</f>
        <v>83.818874141451644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861920</v>
      </c>
      <c r="N68" s="157">
        <f t="shared" ca="1" si="49"/>
        <v>722451.64</v>
      </c>
      <c r="O68" s="156">
        <f t="shared" ca="1" si="46"/>
        <v>77.968016404057849</v>
      </c>
      <c r="P68" s="156">
        <f t="shared" ca="1" si="47"/>
        <v>83.818874141451644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926600</v>
      </c>
      <c r="M70" s="626">
        <f ca="1">IFERROR(__xludf.DUMMYFUNCTION("IMPORTRANGE(""https://docs.google.com/spreadsheets/d/1Yj_ptqi66GCucihVvJfMjLAmec39IyEx_6qawtMGysU/edit?usp=sharing"",""สบก!AI50"")"),861920)</f>
        <v>861920</v>
      </c>
      <c r="N70" s="627">
        <f ca="1">IFERROR(__xludf.DUMMYFUNCTION("IMPORTRANGE(""https://docs.google.com/spreadsheets/d/1Yj_ptqi66GCucihVvJfMjLAmec39IyEx_6qawtMGysU/edit?usp=sharing"",""สบก!AJ50"")"),722451.64)</f>
        <v>722451.64</v>
      </c>
      <c r="O70" s="169">
        <f ca="1">IF(L70&gt;0,N70*100/L70,0)</f>
        <v>77.968016404057849</v>
      </c>
      <c r="P70" s="169">
        <f ca="1">IF(M70&gt;0,N70*100/M70,0)</f>
        <v>83.818874141451644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IFERROR(__xludf.DUMMYFUNCTION("IMPORTRANGE(""https://docs.google.com/spreadsheets/d/1Yj_ptqi66GCucihVvJfMjLAmec39IyEx_6qawtMGysU/edit?usp=sharing"",""สบก!AF50"")"),595200)</f>
        <v>595200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IFERROR(__xludf.DUMMYFUNCTION("IMPORTRANGE(""https://docs.google.com/spreadsheets/d/1Yj_ptqi66GCucihVvJfMjLAmec39IyEx_6qawtMGysU/edit?usp=sharing"",""สบก!AG50"")"),0)</f>
        <v>0</v>
      </c>
      <c r="M74" s="625"/>
      <c r="N74" s="622">
        <f ca="1">IFERROR(__xludf.DUMMYFUNCTION("IMPORTRANGE(""https://docs.google.com/spreadsheets/d/1Yj_ptqi66GCucihVvJfMjLAmec39IyEx_6qawtMGysU/edit?usp=sharing"",""สบก!AK50"")"),0)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IFERROR(__xludf.DUMMYFUNCTION("IMPORTRANGE(""https://docs.google.com/spreadsheets/d/1Yj_ptqi66GCucihVvJfMjLAmec39IyEx_6qawtMGysU/edit?usp=sharing"",""สบก!AR50"")"),0)</f>
        <v>0</v>
      </c>
      <c r="N98" s="627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IFERROR(__xludf.DUMMYFUNCTION("IMPORTRANGE(""https://docs.google.com/spreadsheets/d/1Yj_ptqi66GCucihVvJfMjLAmec39IyEx_6qawtMGysU/edit?usp=sharing"",""สบก!AP50"")"),0)</f>
        <v>0</v>
      </c>
      <c r="M102" s="625"/>
      <c r="N102" s="622">
        <f ca="1">IFERROR(__xludf.DUMMYFUNCTION("IMPORTRANGE(""https://docs.google.com/spreadsheets/d/1Yj_ptqi66GCucihVvJfMjLAmec39IyEx_6qawtMGysU/edit?usp=sharing"",""สบก!AT50"")"),0)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IFERROR(__xludf.DUMMYFUNCTION("IMPORTRANGE(""https://docs.google.com/spreadsheets/d/1Yj_ptqi66GCucihVvJfMjLAmec39IyEx_6qawtMGysU/edit?usp=sharing"",""สบก!BA50"")"),0)</f>
        <v>0</v>
      </c>
      <c r="N122" s="627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IFERROR(__xludf.DUMMYFUNCTION("IMPORTRANGE(""https://docs.google.com/spreadsheets/d/1Yj_ptqi66GCucihVvJfMjLAmec39IyEx_6qawtMGysU/edit?usp=sharing"",""สบก!AY50"")"),0)</f>
        <v>0</v>
      </c>
      <c r="M126" s="625"/>
      <c r="N126" s="622">
        <f ca="1">IFERROR(__xludf.DUMMYFUNCTION("IMPORTRANGE(""https://docs.google.com/spreadsheets/d/1Yj_ptqi66GCucihVvJfMjLAmec39IyEx_6qawtMGysU/edit?usp=sharing"",""สบก!BC50"")"),0)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86000</v>
      </c>
      <c r="M140" s="152">
        <f t="shared" ca="1" si="64"/>
        <v>79345</v>
      </c>
      <c r="N140" s="152">
        <f t="shared" ca="1" si="64"/>
        <v>77244</v>
      </c>
      <c r="O140" s="151">
        <f t="shared" ref="O140:O142" ca="1" si="65">IF(L140&gt;0,N140*100/L140,0)</f>
        <v>89.818604651162786</v>
      </c>
      <c r="P140" s="151">
        <f t="shared" ref="P140:P142" ca="1" si="66">IF(M140&gt;0,N140*100/M140,0)</f>
        <v>97.352070073728655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86000</v>
      </c>
      <c r="M142" s="157">
        <f t="shared" ca="1" si="68"/>
        <v>79345</v>
      </c>
      <c r="N142" s="157">
        <f t="shared" ca="1" si="68"/>
        <v>77244</v>
      </c>
      <c r="O142" s="156">
        <f t="shared" ca="1" si="65"/>
        <v>89.818604651162786</v>
      </c>
      <c r="P142" s="156">
        <f t="shared" ca="1" si="66"/>
        <v>97.352070073728655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86000</v>
      </c>
      <c r="M144" s="626">
        <f ca="1">IFERROR(__xludf.DUMMYFUNCTION("IMPORTRANGE(""https://docs.google.com/spreadsheets/d/1Yj_ptqi66GCucihVvJfMjLAmec39IyEx_6qawtMGysU/edit?usp=sharing"",""สบก!BJ50"")"),79345)</f>
        <v>79345</v>
      </c>
      <c r="N144" s="627">
        <f ca="1">IFERROR(__xludf.DUMMYFUNCTION("IMPORTRANGE(""https://docs.google.com/spreadsheets/d/1Yj_ptqi66GCucihVvJfMjLAmec39IyEx_6qawtMGysU/edit?usp=sharing"",""สบก!BK50"")"),77244)</f>
        <v>77244</v>
      </c>
      <c r="O144" s="169">
        <f ca="1">IF(L144&gt;0,N144*100/L144,0)</f>
        <v>89.818604651162786</v>
      </c>
      <c r="P144" s="169">
        <f ca="1">IF(M144&gt;0,N144*100/M144,0)</f>
        <v>97.352070073728655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IFERROR(__xludf.DUMMYFUNCTION("IMPORTRANGE(""https://docs.google.com/spreadsheets/d/1Yj_ptqi66GCucihVvJfMjLAmec39IyEx_6qawtMGysU/edit?usp=sharing"",""สบก!BG50"")"),86000)</f>
        <v>86000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IFERROR(__xludf.DUMMYFUNCTION("IMPORTRANGE(""https://docs.google.com/spreadsheets/d/1Yj_ptqi66GCucihVvJfMjLAmec39IyEx_6qawtMGysU/edit?usp=sharing"",""สบก!BH50"")"),0)</f>
        <v>0</v>
      </c>
      <c r="M148" s="625"/>
      <c r="N148" s="622">
        <f ca="1">IFERROR(__xludf.DUMMYFUNCTION("IMPORTRANGE(""https://docs.google.com/spreadsheets/d/1Yj_ptqi66GCucihVvJfMjLAmec39IyEx_6qawtMGysU/edit?usp=sharing"",""สบก!BL50"")"),0)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IFERROR(__xludf.DUMMYFUNCTION("IMPORTRANGE(""https://docs.google.com/spreadsheets/d/1XL5vhW3sbDhbH9Cz0tuDiY8C3ctxq1tqvaCgkFb8cCA/edit?usp=sharing"",""ศรีสะเกษ!J84"")"),58)</f>
        <v>58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IFERROR(__xludf.DUMMYFUNCTION("IMPORTRANGE(""https://docs.google.com/spreadsheets/d/1XL5vhW3sbDhbH9Cz0tuDiY8C3ctxq1tqvaCgkFb8cCA/edit?usp=sharing"",""ศรีสะเกษ!J85"")"),58)</f>
        <v>58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IFERROR(__xludf.DUMMYFUNCTION("IMPORTRANGE(""https://docs.google.com/spreadsheets/d/1Yj_ptqi66GCucihVvJfMjLAmec39IyEx_6qawtMGysU/edit?usp=sharing"",""สบก!BS50"")"),21125)</f>
        <v>21125</v>
      </c>
      <c r="N224" s="627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IFERROR(__xludf.DUMMYFUNCTION("IMPORTRANGE(""https://docs.google.com/spreadsheets/d/1Yj_ptqi66GCucihVvJfMjLAmec39IyEx_6qawtMGysU/edit?usp=sharing"",""สบก!BQ50"")"),0)</f>
        <v>0</v>
      </c>
      <c r="M228" s="625"/>
      <c r="N228" s="622">
        <f ca="1">IFERROR(__xludf.DUMMYFUNCTION("IMPORTRANGE(""https://docs.google.com/spreadsheets/d/1Yj_ptqi66GCucihVvJfMjLAmec39IyEx_6qawtMGysU/edit?usp=sharing"",""สบก!BU50"")"),0)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89.4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89.4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IFERROR(__xludf.DUMMYFUNCTION("IMPORTRANGE(""https://docs.google.com/spreadsheets/d/1Yj_ptqi66GCucihVvJfMjLAmec39IyEx_6qawtMGysU/edit?usp=sharing"",""สบก!CB50"")"),47500)</f>
        <v>47500</v>
      </c>
      <c r="N254" s="627">
        <f ca="1">IFERROR(__xludf.DUMMYFUNCTION("IMPORTRANGE(""https://docs.google.com/spreadsheets/d/1Yj_ptqi66GCucihVvJfMjLAmec39IyEx_6qawtMGysU/edit?usp=sharing"",""สบก!CC50"")"),42465)</f>
        <v>42465</v>
      </c>
      <c r="O254" s="169">
        <f ca="1">IF(L254&gt;0,N254*100/L254,0)</f>
        <v>47.713483146067418</v>
      </c>
      <c r="P254" s="169">
        <f ca="1">IF(M254&gt;0,N254*100/M254,0)</f>
        <v>89.4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IFERROR(__xludf.DUMMYFUNCTION("IMPORTRANGE(""https://docs.google.com/spreadsheets/d/1Yj_ptqi66GCucihVvJfMjLAmec39IyEx_6qawtMGysU/edit?usp=sharing"",""สบก!BZ50"")"),0)</f>
        <v>0</v>
      </c>
      <c r="M258" s="625"/>
      <c r="N258" s="622">
        <f ca="1">IFERROR(__xludf.DUMMYFUNCTION("IMPORTRANGE(""https://docs.google.com/spreadsheets/d/1Yj_ptqi66GCucihVvJfMjLAmec39IyEx_6qawtMGysU/edit?usp=sharing"",""สบก!CD50"")"),0)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107817.38</v>
      </c>
      <c r="O271" s="151">
        <f t="shared" ref="O271:O273" ca="1" si="84">IF(L271&gt;0,N271*100/L271,0)</f>
        <v>58.724063180827883</v>
      </c>
      <c r="P271" s="151">
        <f t="shared" ref="P271:P273" ca="1" si="85">IF(M271&gt;0,N271*100/M271,0)</f>
        <v>66.718675742574263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107817.38</v>
      </c>
      <c r="O273" s="156">
        <f t="shared" ca="1" si="84"/>
        <v>58.724063180827883</v>
      </c>
      <c r="P273" s="156">
        <f t="shared" ca="1" si="85"/>
        <v>66.718675742574263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IFERROR(__xludf.DUMMYFUNCTION("IMPORTRANGE(""https://docs.google.com/spreadsheets/d/1Yj_ptqi66GCucihVvJfMjLAmec39IyEx_6qawtMGysU/edit?usp=sharing"",""สบก!CK50"")"),161600)</f>
        <v>161600</v>
      </c>
      <c r="N275" s="627">
        <f ca="1">IFERROR(__xludf.DUMMYFUNCTION("IMPORTRANGE(""https://docs.google.com/spreadsheets/d/1Yj_ptqi66GCucihVvJfMjLAmec39IyEx_6qawtMGysU/edit?usp=sharing"",""สบก!CL50"")"),107817.38)</f>
        <v>107817.38</v>
      </c>
      <c r="O275" s="169">
        <f ca="1">IF(L275&gt;0,N275*100/L275,0)</f>
        <v>58.724063180827883</v>
      </c>
      <c r="P275" s="169">
        <f ca="1">IF(M275&gt;0,N275*100/M275,0)</f>
        <v>66.718675742574263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IFERROR(__xludf.DUMMYFUNCTION("IMPORTRANGE(""https://docs.google.com/spreadsheets/d/1Yj_ptqi66GCucihVvJfMjLAmec39IyEx_6qawtMGysU/edit?usp=sharing"",""สบก!CI50"")"),0)</f>
        <v>0</v>
      </c>
      <c r="M279" s="625"/>
      <c r="N279" s="622">
        <f ca="1">IFERROR(__xludf.DUMMYFUNCTION("IMPORTRANGE(""https://docs.google.com/spreadsheets/d/1Yj_ptqi66GCucihVvJfMjLAmec39IyEx_6qawtMGysU/edit?usp=sharing"",""สบก!CM50"")"),0)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IFERROR(__xludf.DUMMYFUNCTION("IMPORTRANGE(""https://docs.google.com/spreadsheets/d/1Yj_ptqi66GCucihVvJfMjLAmec39IyEx_6qawtMGysU/edit?usp=sharing"",""สบก!CT50"")"),0)</f>
        <v>0</v>
      </c>
      <c r="N294" s="627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IFERROR(__xludf.DUMMYFUNCTION("IMPORTRANGE(""https://docs.google.com/spreadsheets/d/1Yj_ptqi66GCucihVvJfMjLAmec39IyEx_6qawtMGysU/edit?usp=sharing"",""สบก!CR50"")"),0)</f>
        <v>0</v>
      </c>
      <c r="M298" s="625"/>
      <c r="N298" s="622">
        <f ca="1">IFERROR(__xludf.DUMMYFUNCTION("IMPORTRANGE(""https://docs.google.com/spreadsheets/d/1Yj_ptqi66GCucihVvJfMjLAmec39IyEx_6qawtMGysU/edit?usp=sharing"",""สบก!CV50"")"),0)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IFERROR(__xludf.DUMMYFUNCTION("IMPORTRANGE(""https://docs.google.com/spreadsheets/d/1Yj_ptqi66GCucihVvJfMjLAmec39IyEx_6qawtMGysU/edit?usp=sharing"",""สบก!DC50"")"),0)</f>
        <v>0</v>
      </c>
      <c r="N314" s="627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IFERROR(__xludf.DUMMYFUNCTION("IMPORTRANGE(""https://docs.google.com/spreadsheets/d/1Yj_ptqi66GCucihVvJfMjLAmec39IyEx_6qawtMGysU/edit?usp=sharing"",""สบก!DA50"")"),0)</f>
        <v>0</v>
      </c>
      <c r="M318" s="625"/>
      <c r="N318" s="622">
        <f ca="1">IFERROR(__xludf.DUMMYFUNCTION("IMPORTRANGE(""https://docs.google.com/spreadsheets/d/1Yj_ptqi66GCucihVvJfMjLAmec39IyEx_6qawtMGysU/edit?usp=sharing"",""สบก!DE50"")"),0)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IFERROR(__xludf.DUMMYFUNCTION("IMPORTRANGE(""https://docs.google.com/spreadsheets/d/1XL5vhW3sbDhbH9Cz0tuDiY8C3ctxq1tqvaCgkFb8cCA/edit?usp=sharing"",""ศรีสะเกษ!J228"")"),860)</f>
        <v>860</v>
      </c>
      <c r="K328" s="318">
        <f ca="1">IF(I328&gt;0,J328*100/I328,0)</f>
        <v>62.318840579710148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1477590</v>
      </c>
      <c r="N329" s="152">
        <f t="shared" ca="1" si="98"/>
        <v>924632</v>
      </c>
      <c r="O329" s="151">
        <f t="shared" ref="O329:O331" ca="1" si="99">IF(L329&gt;0,N329*100/L329,0)</f>
        <v>53.296904090796431</v>
      </c>
      <c r="P329" s="151">
        <f t="shared" ref="P329:P331" ca="1" si="100">IF(M329&gt;0,N329*100/M329,0)</f>
        <v>62.577034224649601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1477590</v>
      </c>
      <c r="N331" s="157">
        <f t="shared" ca="1" si="102"/>
        <v>924632</v>
      </c>
      <c r="O331" s="156">
        <f t="shared" ca="1" si="99"/>
        <v>53.296904090796431</v>
      </c>
      <c r="P331" s="156">
        <f t="shared" ca="1" si="100"/>
        <v>62.577034224649601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6">
        <f ca="1">IFERROR(__xludf.DUMMYFUNCTION("IMPORTRANGE(""https://docs.google.com/spreadsheets/d/1Yj_ptqi66GCucihVvJfMjLAmec39IyEx_6qawtMGysU/edit?usp=sharing"",""สบก!DL50"")"),1460590)</f>
        <v>1460590</v>
      </c>
      <c r="N333" s="627">
        <f ca="1">IFERROR(__xludf.DUMMYFUNCTION("IMPORTRANGE(""https://docs.google.com/spreadsheets/d/1Yj_ptqi66GCucihVvJfMjLAmec39IyEx_6qawtMGysU/edit?usp=sharing"",""สบก!DM50"")"),907632)</f>
        <v>907632</v>
      </c>
      <c r="O333" s="169">
        <f ca="1">IF(L333&gt;0,N333*100/L333,0)</f>
        <v>52.834731382467822</v>
      </c>
      <c r="P333" s="169">
        <f ca="1">IF(M333&gt;0,N333*100/M333,0)</f>
        <v>62.141463381236349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IFERROR(__xludf.DUMMYFUNCTION("IMPORTRANGE(""https://docs.google.com/spreadsheets/d/1Yj_ptqi66GCucihVvJfMjLAmec39IyEx_6qawtMGysU/edit?usp=sharing"",""สบก!DJ50"")"),17000)</f>
        <v>17000</v>
      </c>
      <c r="M337" s="625">
        <f ca="1">L337</f>
        <v>17000</v>
      </c>
      <c r="N337" s="622">
        <f ca="1">IFERROR(__xludf.DUMMYFUNCTION("IMPORTRANGE(""https://docs.google.com/spreadsheets/d/1Yj_ptqi66GCucihVvJfMjLAmec39IyEx_6qawtMGysU/edit?usp=sharing"",""สบก!DN50"")"),17000)</f>
        <v>17000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IFERROR(__xludf.DUMMYFUNCTION("IMPORTRANGE(""https://docs.google.com/spreadsheets/d/1XL5vhW3sbDhbH9Cz0tuDiY8C3ctxq1tqvaCgkFb8cCA/edit?usp=sharing"",""ศรีสะเกษ!J234"")"),914)</f>
        <v>914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IFERROR(__xludf.DUMMYFUNCTION("IMPORTRANGE(""https://docs.google.com/spreadsheets/d/1XL5vhW3sbDhbH9Cz0tuDiY8C3ctxq1tqvaCgkFb8cCA/edit?usp=sharing"",""ศรีสะเกษ!J235"")"),5956.57)</f>
        <v>5956.57</v>
      </c>
      <c r="K340" s="343">
        <f t="shared" ca="1" si="103"/>
        <v>76.759922680412373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IFERROR(__xludf.DUMMYFUNCTION("IMPORTRANGE(""https://docs.google.com/spreadsheets/d/1XL5vhW3sbDhbH9Cz0tuDiY8C3ctxq1tqvaCgkFb8cCA/edit?usp=sharing"",""ศรีสะเกษ!J236"")"),1455)</f>
        <v>1455</v>
      </c>
      <c r="K341" s="343">
        <f t="shared" ca="1" si="103"/>
        <v>105.43478260869566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IFERROR(__xludf.DUMMYFUNCTION("IMPORTRANGE(""https://docs.google.com/spreadsheets/d/1XL5vhW3sbDhbH9Cz0tuDiY8C3ctxq1tqvaCgkFb8cCA/edit?usp=sharing"",""ศรีสะเกษ!J237"")"),10628.2)</f>
        <v>10628.2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IFERROR(__xludf.DUMMYFUNCTION("IMPORTRANGE(""https://docs.google.com/spreadsheets/d/1XL5vhW3sbDhbH9Cz0tuDiY8C3ctxq1tqvaCgkFb8cCA/edit?usp=sharing"",""ศรีสะเกษ!J238"")"),3)</f>
        <v>3</v>
      </c>
      <c r="K343" s="343">
        <f t="shared" ca="1" si="103"/>
        <v>0.21739130434782608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IFERROR(__xludf.DUMMYFUNCTION("IMPORTRANGE(""https://docs.google.com/spreadsheets/d/1XL5vhW3sbDhbH9Cz0tuDiY8C3ctxq1tqvaCgkFb8cCA/edit?usp=sharing"",""ศรีสะเกษ!J239"")"),23.72)</f>
        <v>23.72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IFERROR(__xludf.DUMMYFUNCTION("IMPORTRANGE(""https://docs.google.com/spreadsheets/d/1XL5vhW3sbDhbH9Cz0tuDiY8C3ctxq1tqvaCgkFb8cCA/edit?usp=sharing"",""ศรีสะเกษ!J240"")"),860)</f>
        <v>860</v>
      </c>
      <c r="K345" s="343">
        <f t="shared" ca="1" si="103"/>
        <v>62.318840579710148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IFERROR(__xludf.DUMMYFUNCTION("IMPORTRANGE(""https://docs.google.com/spreadsheets/d/1XL5vhW3sbDhbH9Cz0tuDiY8C3ctxq1tqvaCgkFb8cCA/edit?usp=sharing"",""ศรีสะเกษ!J241"")"),6698.83)</f>
        <v>6698.83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IFERROR(__xludf.DUMMYFUNCTION("IMPORTRANGE(""https://docs.google.com/spreadsheets/d/1XL5vhW3sbDhbH9Cz0tuDiY8C3ctxq1tqvaCgkFb8cCA/edit?usp=sharing"",""ศรีสะเกษ!L242"")"),3179821)</f>
        <v>3179821</v>
      </c>
      <c r="M347" s="358"/>
      <c r="N347" s="358">
        <f ca="1">IFERROR(__xludf.DUMMYFUNCTION("IMPORTRANGE(""https://docs.google.com/spreadsheets/d/1XL5vhW3sbDhbH9Cz0tuDiY8C3ctxq1tqvaCgkFb8cCA/edit?usp=sharing"",""ศรีสะเกษ!M242"")"),1477862.21)</f>
        <v>1477862.21</v>
      </c>
      <c r="O347" s="358">
        <f ca="1">+IF(L347&gt;0,N347*100/L347,0)</f>
        <v>46.476270519629878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IFERROR(__xludf.DUMMYFUNCTION("IMPORTRANGE(""https://docs.google.com/spreadsheets/d/1XL5vhW3sbDhbH9Cz0tuDiY8C3ctxq1tqvaCgkFb8cCA/edit?usp=sharing"",""ศรีสะเกษ!M244"")"),292051.64)</f>
        <v>292051.64</v>
      </c>
      <c r="O349" s="373">
        <f ca="1">+IF(L349&gt;0,N349*100/L349,0)</f>
        <v>78.264454925501127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IFERROR(__xludf.DUMMYFUNCTION("IMPORTRANGE(""https://docs.google.com/spreadsheets/d/1XL5vhW3sbDhbH9Cz0tuDiY8C3ctxq1tqvaCgkFb8cCA/edit?usp=sharing"",""ศรีสะเกษ!M247"")"),292051.64)</f>
        <v>292051.64</v>
      </c>
      <c r="O352" s="165">
        <f t="shared" ca="1" si="105"/>
        <v>78.264454925501127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IFERROR(__xludf.DUMMYFUNCTION("IMPORTRANGE(""https://docs.google.com/spreadsheets/d/1XL5vhW3sbDhbH9Cz0tuDiY8C3ctxq1tqvaCgkFb8cCA/edit?usp=sharing"",""ศรีสะเกษ!M249"")"),292051.64)</f>
        <v>292051.64</v>
      </c>
      <c r="O354" s="169">
        <f t="shared" ca="1" si="105"/>
        <v>78.264454925501127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IFERROR(__xludf.DUMMYFUNCTION("IMPORTRANGE(""https://docs.google.com/spreadsheets/d/1XL5vhW3sbDhbH9Cz0tuDiY8C3ctxq1tqvaCgkFb8cCA/edit?usp=sharing"",""ศรีสะเกษ!M250"")"),49300)</f>
        <v>49300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IFERROR(__xludf.DUMMYFUNCTION("IMPORTRANGE(""https://docs.google.com/spreadsheets/d/1XL5vhW3sbDhbH9Cz0tuDiY8C3ctxq1tqvaCgkFb8cCA/edit?usp=sharing"",""ศรีสะเกษ!M252"")"),84451.64)</f>
        <v>84451.64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IFERROR(__xludf.DUMMYFUNCTION("IMPORTRANGE(""https://docs.google.com/spreadsheets/d/1XL5vhW3sbDhbH9Cz0tuDiY8C3ctxq1tqvaCgkFb8cCA/edit?usp=sharing"",""ศรีสะเกษ!M275"")"),256878.53)</f>
        <v>256878.53</v>
      </c>
      <c r="O380" s="373">
        <f ca="1">+IF(L380&gt;0,N380*100/L380,0)</f>
        <v>24.975550305293041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IFERROR(__xludf.DUMMYFUNCTION("IMPORTRANGE(""https://docs.google.com/spreadsheets/d/1XL5vhW3sbDhbH9Cz0tuDiY8C3ctxq1tqvaCgkFb8cCA/edit?usp=sharing"",""ศรีสะเกษ!M278"")"),256878.53)</f>
        <v>256878.53</v>
      </c>
      <c r="O383" s="165">
        <f t="shared" ca="1" si="109"/>
        <v>24.975550305293041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IFERROR(__xludf.DUMMYFUNCTION("IMPORTRANGE(""https://docs.google.com/spreadsheets/d/1XL5vhW3sbDhbH9Cz0tuDiY8C3ctxq1tqvaCgkFb8cCA/edit?usp=sharing"",""ศรีสะเกษ!M280"")"),256878.53)</f>
        <v>256878.53</v>
      </c>
      <c r="O385" s="169">
        <f t="shared" ca="1" si="109"/>
        <v>24.975550305293041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IFERROR(__xludf.DUMMYFUNCTION("IMPORTRANGE(""https://docs.google.com/spreadsheets/d/1XL5vhW3sbDhbH9Cz0tuDiY8C3ctxq1tqvaCgkFb8cCA/edit?usp=sharing"",""ศรีสะเกษ!M281"")"),159280)</f>
        <v>159280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IFERROR(__xludf.DUMMYFUNCTION("IMPORTRANGE(""https://docs.google.com/spreadsheets/d/1XL5vhW3sbDhbH9Cz0tuDiY8C3ctxq1tqvaCgkFb8cCA/edit?usp=sharing"",""ศรีสะเกษ!M283"")"),76278.53)</f>
        <v>76278.53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IFERROR(__xludf.DUMMYFUNCTION("IMPORTRANGE(""https://docs.google.com/spreadsheets/d/1XL5vhW3sbDhbH9Cz0tuDiY8C3ctxq1tqvaCgkFb8cCA/edit?usp=sharing"",""ศรีสะเกษ!M284"")"),21320)</f>
        <v>21320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IFERROR(__xludf.DUMMYFUNCTION("IMPORTRANGE(""https://docs.google.com/spreadsheets/d/1XL5vhW3sbDhbH9Cz0tuDiY8C3ctxq1tqvaCgkFb8cCA/edit?usp=sharing"",""ศรีสะเกษ!M330"")"),98465)</f>
        <v>98465</v>
      </c>
      <c r="O435" s="412">
        <f t="shared" ref="O435:O439" ca="1" si="114">+IF(L435&gt;0,N435*100/L435,0)</f>
        <v>74.03383458646617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IFERROR(__xludf.DUMMYFUNCTION("IMPORTRANGE(""https://docs.google.com/spreadsheets/d/1XL5vhW3sbDhbH9Cz0tuDiY8C3ctxq1tqvaCgkFb8cCA/edit?usp=sharing"",""ศรีสะเกษ!M332"")"),98465)</f>
        <v>98465</v>
      </c>
      <c r="O437" s="169">
        <f t="shared" ca="1" si="114"/>
        <v>74.03383458646617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IFERROR(__xludf.DUMMYFUNCTION("IMPORTRANGE(""https://docs.google.com/spreadsheets/d/1XL5vhW3sbDhbH9Cz0tuDiY8C3ctxq1tqvaCgkFb8cCA/edit?usp=sharing"",""ศรีสะเกษ!M334"")"),98465)</f>
        <v>98465</v>
      </c>
      <c r="O439" s="169">
        <f t="shared" ca="1" si="114"/>
        <v>74.03383458646617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IFERROR(__xludf.DUMMYFUNCTION("IMPORTRANGE(""https://docs.google.com/spreadsheets/d/1XL5vhW3sbDhbH9Cz0tuDiY8C3ctxq1tqvaCgkFb8cCA/edit?usp=sharing"",""ศรีสะเกษ!M335"")"),75005)</f>
        <v>75005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IFERROR(__xludf.DUMMYFUNCTION("IMPORTRANGE(""https://docs.google.com/spreadsheets/d/1XL5vhW3sbDhbH9Cz0tuDiY8C3ctxq1tqvaCgkFb8cCA/edit?usp=sharing"",""ศรีสะเกษ!M338"")"),23460)</f>
        <v>23460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IFERROR(__xludf.DUMMYFUNCTION("IMPORTRANGE(""https://docs.google.com/spreadsheets/d/1XL5vhW3sbDhbH9Cz0tuDiY8C3ctxq1tqvaCgkFb8cCA/edit?usp=sharing"",""ศรีสะเกษ!J350"")"),51444)</f>
        <v>51444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IFERROR(__xludf.DUMMYFUNCTION("IMPORTRANGE(""https://docs.google.com/spreadsheets/d/1XL5vhW3sbDhbH9Cz0tuDiY8C3ctxq1tqvaCgkFb8cCA/edit?usp=sharing"",""ศรีสะเกษ!L350"")"),845921)</f>
        <v>845921</v>
      </c>
      <c r="M455" s="373"/>
      <c r="N455" s="373">
        <f ca="1">IFERROR(__xludf.DUMMYFUNCTION("IMPORTRANGE(""https://docs.google.com/spreadsheets/d/1XL5vhW3sbDhbH9Cz0tuDiY8C3ctxq1tqvaCgkFb8cCA/edit?usp=sharing"",""ศรีสะเกษ!M350"")"),334984.37)</f>
        <v>334984.37</v>
      </c>
      <c r="O455" s="373">
        <f t="shared" ref="O455:O459" ca="1" si="116">+IF(L455&gt;0,N455*100/L455,0)</f>
        <v>39.599959097835374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IFERROR(__xludf.DUMMYFUNCTION("IMPORTRANGE(""https://docs.google.com/spreadsheets/d/1XL5vhW3sbDhbH9Cz0tuDiY8C3ctxq1tqvaCgkFb8cCA/edit?usp=sharing"",""ศรีสะเกษ!L352"")"),845921)</f>
        <v>845921</v>
      </c>
      <c r="M457" s="165"/>
      <c r="N457" s="169">
        <f ca="1">IFERROR(__xludf.DUMMYFUNCTION("IMPORTRANGE(""https://docs.google.com/spreadsheets/d/1XL5vhW3sbDhbH9Cz0tuDiY8C3ctxq1tqvaCgkFb8cCA/edit?usp=sharing"",""ศรีสะเกษ!M352"")"),334984.37)</f>
        <v>334984.37</v>
      </c>
      <c r="O457" s="169">
        <f t="shared" ca="1" si="116"/>
        <v>39.599959097835374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IFERROR(__xludf.DUMMYFUNCTION("IMPORTRANGE(""https://docs.google.com/spreadsheets/d/1XL5vhW3sbDhbH9Cz0tuDiY8C3ctxq1tqvaCgkFb8cCA/edit?usp=sharing"",""ศรีสะเกษ!L354"")"),845921)</f>
        <v>845921</v>
      </c>
      <c r="M459" s="169"/>
      <c r="N459" s="169">
        <f ca="1">IFERROR(__xludf.DUMMYFUNCTION("IMPORTRANGE(""https://docs.google.com/spreadsheets/d/1XL5vhW3sbDhbH9Cz0tuDiY8C3ctxq1tqvaCgkFb8cCA/edit?usp=sharing"",""ศรีสะเกษ!M354"")"),334984.37)</f>
        <v>334984.37</v>
      </c>
      <c r="O459" s="169">
        <f t="shared" ca="1" si="116"/>
        <v>39.599959097835374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IFERROR(__xludf.DUMMYFUNCTION("IMPORTRANGE(""https://docs.google.com/spreadsheets/d/1XL5vhW3sbDhbH9Cz0tuDiY8C3ctxq1tqvaCgkFb8cCA/edit?usp=sharing"",""ศรีสะเกษ!M357"")"),83387.12)</f>
        <v>83387.12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IFERROR(__xludf.DUMMYFUNCTION("IMPORTRANGE(""https://docs.google.com/spreadsheets/d/1XL5vhW3sbDhbH9Cz0tuDiY8C3ctxq1tqvaCgkFb8cCA/edit?usp=sharing"",""ศรีสะเกษ!M358"")"),251597.25)</f>
        <v>251597.25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IFERROR(__xludf.DUMMYFUNCTION("IMPORTRANGE(""https://docs.google.com/spreadsheets/d/1XL5vhW3sbDhbH9Cz0tuDiY8C3ctxq1tqvaCgkFb8cCA/edit?usp=sharing"",""ศรีสะเกษ!J359"")"),51444)</f>
        <v>51444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IFERROR(__xludf.DUMMYFUNCTION("IMPORTRANGE(""https://docs.google.com/spreadsheets/d/1XL5vhW3sbDhbH9Cz0tuDiY8C3ctxq1tqvaCgkFb8cCA/edit?usp=sharing"",""ศรีสะเกษ!J376"")"),51444)</f>
        <v>51444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IFERROR(__xludf.DUMMYFUNCTION("IMPORTRANGE(""https://docs.google.com/spreadsheets/d/1XL5vhW3sbDhbH9Cz0tuDiY8C3ctxq1tqvaCgkFb8cCA/edit?usp=sharing"",""ศรีสะเกษ!J377"")"),11134)</f>
        <v>11134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IFERROR(__xludf.DUMMYFUNCTION("IMPORTRANGE(""https://docs.google.com/spreadsheets/d/1XL5vhW3sbDhbH9Cz0tuDiY8C3ctxq1tqvaCgkFb8cCA/edit?usp=sharing"",""ศรีสะเกษ!J384"")"),1394)</f>
        <v>1394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IFERROR(__xludf.DUMMYFUNCTION("IMPORTRANGE(""https://docs.google.com/spreadsheets/d/1XL5vhW3sbDhbH9Cz0tuDiY8C3ctxq1tqvaCgkFb8cCA/edit?usp=sharing"",""ศรีสะเกษ!J385"")"),287)</f>
        <v>287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202">
        <f t="shared" ca="1" si="117"/>
        <v>26.74278846153846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2">
        <f t="shared" ca="1" si="117"/>
        <v>38.292011019283748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IFERROR(__xludf.DUMMYFUNCTION("IMPORTRANGE(""https://docs.google.com/spreadsheets/d/1XL5vhW3sbDhbH9Cz0tuDiY8C3ctxq1tqvaCgkFb8cCA/edit?usp=sharing"",""ศรีสะเกษ!J395"")"),80)</f>
        <v>80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IFERROR(__xludf.DUMMYFUNCTION("IMPORTRANGE(""https://docs.google.com/spreadsheets/d/1XL5vhW3sbDhbH9Cz0tuDiY8C3ctxq1tqvaCgkFb8cCA/edit?usp=sharing"",""ศรีสะเกษ!J396"")"),29)</f>
        <v>29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IFERROR(__xludf.DUMMYFUNCTION("IMPORTRANGE(""https://docs.google.com/spreadsheets/d/1XL5vhW3sbDhbH9Cz0tuDiY8C3ctxq1tqvaCgkFb8cCA/edit?usp=sharing"",""ศรีสะเกษ!J397"")"),46)</f>
        <v>46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IFERROR(__xludf.DUMMYFUNCTION("IMPORTRANGE(""https://docs.google.com/spreadsheets/d/1XL5vhW3sbDhbH9Cz0tuDiY8C3ctxq1tqvaCgkFb8cCA/edit?usp=sharing"",""ศรีสะเกษ!J398"")"),18)</f>
        <v>18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IFERROR(__xludf.DUMMYFUNCTION("IMPORTRANGE(""https://docs.google.com/spreadsheets/d/1XL5vhW3sbDhbH9Cz0tuDiY8C3ctxq1tqvaCgkFb8cCA/edit?usp=sharing"",""ศรีสะเกษ!J399"")"),34)</f>
        <v>34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IFERROR(__xludf.DUMMYFUNCTION("IMPORTRANGE(""https://docs.google.com/spreadsheets/d/1XL5vhW3sbDhbH9Cz0tuDiY8C3ctxq1tqvaCgkFb8cCA/edit?usp=sharing"",""ศรีสะเกษ!J403"")"),5)</f>
        <v>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IFERROR(__xludf.DUMMYFUNCTION("IMPORTRANGE(""https://docs.google.com/spreadsheets/d/1XL5vhW3sbDhbH9Cz0tuDiY8C3ctxq1tqvaCgkFb8cCA/edit?usp=sharing"",""ศรีสะเกษ!J407"")"),5)</f>
        <v>5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IFERROR(__xludf.DUMMYFUNCTION("IMPORTRANGE(""https://docs.google.com/spreadsheets/d/1XL5vhW3sbDhbH9Cz0tuDiY8C3ctxq1tqvaCgkFb8cCA/edit?usp=sharing"",""ศรีสะเกษ!J409"")"),805)</f>
        <v>805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IFERROR(__xludf.DUMMYFUNCTION("IMPORTRANGE(""https://docs.google.com/spreadsheets/d/1XL5vhW3sbDhbH9Cz0tuDiY8C3ctxq1tqvaCgkFb8cCA/edit?usp=sharing"",""ศรีสะเกษ!J410"")"),247)</f>
        <v>247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IFERROR(__xludf.DUMMYFUNCTION("IMPORTRANGE(""https://docs.google.com/spreadsheets/d/1XL5vhW3sbDhbH9Cz0tuDiY8C3ctxq1tqvaCgkFb8cCA/edit?usp=sharing"",""ศรีสะเกษ!J418"")"),124)</f>
        <v>124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IFERROR(__xludf.DUMMYFUNCTION("IMPORTRANGE(""https://docs.google.com/spreadsheets/d/1XL5vhW3sbDhbH9Cz0tuDiY8C3ctxq1tqvaCgkFb8cCA/edit?usp=sharing"",""ศรีสะเกษ!J419"")"),7)</f>
        <v>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IFERROR(__xludf.DUMMYFUNCTION("IMPORTRANGE(""https://docs.google.com/spreadsheets/d/1XL5vhW3sbDhbH9Cz0tuDiY8C3ctxq1tqvaCgkFb8cCA/edit?usp=sharing"",""ศรีสะเกษ!I420"")"),124)</f>
        <v>124</v>
      </c>
      <c r="J525" s="285">
        <f ca="1">IFERROR(__xludf.DUMMYFUNCTION("IMPORTRANGE(""https://docs.google.com/spreadsheets/d/1XL5vhW3sbDhbH9Cz0tuDiY8C3ctxq1tqvaCgkFb8cCA/edit?usp=sharing"",""ศรีสะเกษ!J420"")"),0)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IFERROR(__xludf.DUMMYFUNCTION("IMPORTRANGE(""https://docs.google.com/spreadsheets/d/1XL5vhW3sbDhbH9Cz0tuDiY8C3ctxq1tqvaCgkFb8cCA/edit?usp=sharing"",""ศรีสะเกษ!I421"")"),7)</f>
        <v>7</v>
      </c>
      <c r="J526" s="285">
        <f ca="1">IFERROR(__xludf.DUMMYFUNCTION("IMPORTRANGE(""https://docs.google.com/spreadsheets/d/1XL5vhW3sbDhbH9Cz0tuDiY8C3ctxq1tqvaCgkFb8cCA/edit?usp=sharing"",""ศรีสะเกษ!J421"")"),0)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IFERROR(__xludf.DUMMYFUNCTION("IMPORTRANGE(""https://docs.google.com/spreadsheets/d/1XL5vhW3sbDhbH9Cz0tuDiY8C3ctxq1tqvaCgkFb8cCA/edit?usp=sharing"",""ศรีสะเกษ!M428"")"),22610)</f>
        <v>22610</v>
      </c>
      <c r="O533" s="412">
        <f t="shared" ref="O533:O537" ca="1" si="118">+IF(L533&gt;0,N533*100/L533,0)</f>
        <v>69.270833333333329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IFERROR(__xludf.DUMMYFUNCTION("IMPORTRANGE(""https://docs.google.com/spreadsheets/d/1XL5vhW3sbDhbH9Cz0tuDiY8C3ctxq1tqvaCgkFb8cCA/edit?usp=sharing"",""ศรีสะเกษ!M430"")"),22610)</f>
        <v>22610</v>
      </c>
      <c r="O535" s="169">
        <f t="shared" ca="1" si="118"/>
        <v>69.270833333333329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IFERROR(__xludf.DUMMYFUNCTION("IMPORTRANGE(""https://docs.google.com/spreadsheets/d/1XL5vhW3sbDhbH9Cz0tuDiY8C3ctxq1tqvaCgkFb8cCA/edit?usp=sharing"",""ศรีสะเกษ!M432"")"),22610)</f>
        <v>22610</v>
      </c>
      <c r="O537" s="169">
        <f t="shared" ca="1" si="118"/>
        <v>69.270833333333329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IFERROR(__xludf.DUMMYFUNCTION("IMPORTRANGE(""https://docs.google.com/spreadsheets/d/1XL5vhW3sbDhbH9Cz0tuDiY8C3ctxq1tqvaCgkFb8cCA/edit?usp=sharing"",""ศรีสะเกษ!J459"")"),8164)</f>
        <v>8164</v>
      </c>
      <c r="K564" s="372">
        <f ca="1">IF(I564&gt;0,J564*100/I564,0)</f>
        <v>123.6969696969697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IFERROR(__xludf.DUMMYFUNCTION("IMPORTRANGE(""https://docs.google.com/spreadsheets/d/1XL5vhW3sbDhbH9Cz0tuDiY8C3ctxq1tqvaCgkFb8cCA/edit?usp=sharing"",""ศรีสะเกษ!M459"")"),148425.229999999)</f>
        <v>148425.22999999899</v>
      </c>
      <c r="O564" s="373">
        <f t="shared" ref="O564:O568" ca="1" si="122">+IF(L564&gt;0,N564*100/L564,0)</f>
        <v>76.193649897330076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IFERROR(__xludf.DUMMYFUNCTION("IMPORTRANGE(""https://docs.google.com/spreadsheets/d/1XL5vhW3sbDhbH9Cz0tuDiY8C3ctxq1tqvaCgkFb8cCA/edit?usp=sharing"",""ศรีสะเกษ!M461"")"),148425.229999999)</f>
        <v>148425.22999999899</v>
      </c>
      <c r="O566" s="169">
        <f t="shared" ca="1" si="122"/>
        <v>76.193649897330076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IFERROR(__xludf.DUMMYFUNCTION("IMPORTRANGE(""https://docs.google.com/spreadsheets/d/1XL5vhW3sbDhbH9Cz0tuDiY8C3ctxq1tqvaCgkFb8cCA/edit?usp=sharing"",""ศรีสะเกษ!M463"")"),148425.229999999)</f>
        <v>148425.22999999899</v>
      </c>
      <c r="O568" s="169">
        <f t="shared" ca="1" si="122"/>
        <v>76.193649897330076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IFERROR(__xludf.DUMMYFUNCTION("IMPORTRANGE(""https://docs.google.com/spreadsheets/d/1XL5vhW3sbDhbH9Cz0tuDiY8C3ctxq1tqvaCgkFb8cCA/edit?usp=sharing"",""ศรีสะเกษ!M466"")"),73345.23)</f>
        <v>73345.23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IFERROR(__xludf.DUMMYFUNCTION("IMPORTRANGE(""https://docs.google.com/spreadsheets/d/1XL5vhW3sbDhbH9Cz0tuDiY8C3ctxq1tqvaCgkFb8cCA/edit?usp=sharing"",""ศรีสะเกษ!M467"")"),75080)</f>
        <v>75080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IFERROR(__xludf.DUMMYFUNCTION("IMPORTRANGE(""https://docs.google.com/spreadsheets/d/1XL5vhW3sbDhbH9Cz0tuDiY8C3ctxq1tqvaCgkFb8cCA/edit?usp=sharing"",""ศรีสะเกษ!J468"")"),8164)</f>
        <v>8164</v>
      </c>
      <c r="K573" s="202">
        <f ca="1">IF(I573&gt;0,J573*100/I573,0)</f>
        <v>123.6969696969697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IFERROR(__xludf.DUMMYFUNCTION("IMPORTRANGE(""https://docs.google.com/spreadsheets/d/1XL5vhW3sbDhbH9Cz0tuDiY8C3ctxq1tqvaCgkFb8cCA/edit?usp=sharing"",""ศรีสะเกษ!J471"")"),318)</f>
        <v>318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IFERROR(__xludf.DUMMYFUNCTION("IMPORTRANGE(""https://docs.google.com/spreadsheets/d/1XL5vhW3sbDhbH9Cz0tuDiY8C3ctxq1tqvaCgkFb8cCA/edit?usp=sharing"",""ศรีสะเกษ!J472"")"),7846)</f>
        <v>7846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IFERROR(__xludf.DUMMYFUNCTION("IMPORTRANGE(""https://docs.google.com/spreadsheets/d/1XL5vhW3sbDhbH9Cz0tuDiY8C3ctxq1tqvaCgkFb8cCA/edit?usp=sharing"",""ศรีสะเกษ!J475"")"),99)</f>
        <v>99</v>
      </c>
      <c r="K580" s="372">
        <f ca="1">IF(I580&gt;0,J580*100/I580,0)</f>
        <v>66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IFERROR(__xludf.DUMMYFUNCTION("IMPORTRANGE(""https://docs.google.com/spreadsheets/d/1XL5vhW3sbDhbH9Cz0tuDiY8C3ctxq1tqvaCgkFb8cCA/edit?usp=sharing"",""ศรีสะเกษ!M475"")"),113917.44)</f>
        <v>113917.44</v>
      </c>
      <c r="O580" s="373">
        <f t="shared" ref="O580:O584" ca="1" si="124">+IF(L580&gt;0,N580*100/L580,0)</f>
        <v>32.021768095572732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IFERROR(__xludf.DUMMYFUNCTION("IMPORTRANGE(""https://docs.google.com/spreadsheets/d/1XL5vhW3sbDhbH9Cz0tuDiY8C3ctxq1tqvaCgkFb8cCA/edit?usp=sharing"",""ศรีสะเกษ!M477"")"),113917.44)</f>
        <v>113917.44</v>
      </c>
      <c r="O582" s="169">
        <f t="shared" ca="1" si="124"/>
        <v>32.021768095572732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IFERROR(__xludf.DUMMYFUNCTION("IMPORTRANGE(""https://docs.google.com/spreadsheets/d/1XL5vhW3sbDhbH9Cz0tuDiY8C3ctxq1tqvaCgkFb8cCA/edit?usp=sharing"",""ศรีสะเกษ!M479"")"),113917.44)</f>
        <v>113917.44</v>
      </c>
      <c r="O584" s="169">
        <f t="shared" ca="1" si="124"/>
        <v>32.021768095572732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IFERROR(__xludf.DUMMYFUNCTION("IMPORTRANGE(""https://docs.google.com/spreadsheets/d/1XL5vhW3sbDhbH9Cz0tuDiY8C3ctxq1tqvaCgkFb8cCA/edit?usp=sharing"",""ศรีสะเกษ!M482"")"),82677.44)</f>
        <v>82677.440000000002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IFERROR(__xludf.DUMMYFUNCTION("IMPORTRANGE(""https://docs.google.com/spreadsheets/d/1XL5vhW3sbDhbH9Cz0tuDiY8C3ctxq1tqvaCgkFb8cCA/edit?usp=sharing"",""ศรีสะเกษ!M483"")"),31240)</f>
        <v>31240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IFERROR(__xludf.DUMMYFUNCTION("IMPORTRANGE(""https://docs.google.com/spreadsheets/d/1XL5vhW3sbDhbH9Cz0tuDiY8C3ctxq1tqvaCgkFb8cCA/edit?usp=sharing"",""ศรีสะเกษ!J484"")"),26)</f>
        <v>26</v>
      </c>
      <c r="K589" s="163">
        <f t="shared" ref="K589:K596" ca="1" si="125">IF(I589&gt;0,J589*100/I589,0)</f>
        <v>17.333333333333332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IFERROR(__xludf.DUMMYFUNCTION("IMPORTRANGE(""https://docs.google.com/spreadsheets/d/1XL5vhW3sbDhbH9Cz0tuDiY8C3ctxq1tqvaCgkFb8cCA/edit?usp=sharing"",""ศรีสะเกษ!J485"")"),12.51)</f>
        <v>12.51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IFERROR(__xludf.DUMMYFUNCTION("IMPORTRANGE(""https://docs.google.com/spreadsheets/d/1XL5vhW3sbDhbH9Cz0tuDiY8C3ctxq1tqvaCgkFb8cCA/edit?usp=sharing"",""ศรีสะเกษ!J486"")"),17)</f>
        <v>17</v>
      </c>
      <c r="K591" s="163">
        <f t="shared" ca="1" si="125"/>
        <v>11.333333333333334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IFERROR(__xludf.DUMMYFUNCTION("IMPORTRANGE(""https://docs.google.com/spreadsheets/d/1XL5vhW3sbDhbH9Cz0tuDiY8C3ctxq1tqvaCgkFb8cCA/edit?usp=sharing"",""ศรีสะเกษ!J487"")"),6.8)</f>
        <v>6.8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IFERROR(__xludf.DUMMYFUNCTION("IMPORTRANGE(""https://docs.google.com/spreadsheets/d/1XL5vhW3sbDhbH9Cz0tuDiY8C3ctxq1tqvaCgkFb8cCA/edit?usp=sharing"",""ศรีสะเกษ!J490"")"),99)</f>
        <v>99</v>
      </c>
      <c r="K595" s="163">
        <f t="shared" ca="1" si="125"/>
        <v>66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IFERROR(__xludf.DUMMYFUNCTION("IMPORTRANGE(""https://docs.google.com/spreadsheets/d/1XL5vhW3sbDhbH9Cz0tuDiY8C3ctxq1tqvaCgkFb8cCA/edit?usp=sharing"",""ศรีสะเกษ!J491"")"),39.64)</f>
        <v>39.64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43.298969072164951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IFERROR(__xludf.DUMMYFUNCTION("IMPORTRANGE(""https://docs.google.com/spreadsheets/d/1XL5vhW3sbDhbH9Cz0tuDiY8C3ctxq1tqvaCgkFb8cCA/edit?usp=sharing"",""ศรีสะเกษ!L494"")"),9700)</f>
        <v>9700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43.298969072164951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IFERROR(__xludf.DUMMYFUNCTION("IMPORTRANGE(""https://docs.google.com/spreadsheets/d/1XL5vhW3sbDhbH9Cz0tuDiY8C3ctxq1tqvaCgkFb8cCA/edit?usp=sharing"",""ศรีสะเกษ!L496"")"),9700)</f>
        <v>9700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43.298969072164951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IFERROR(__xludf.DUMMYFUNCTION("IMPORTRANGE(""https://docs.google.com/spreadsheets/d/1XL5vhW3sbDhbH9Cz0tuDiY8C3ctxq1tqvaCgkFb8cCA/edit?usp=sharing"",""ศรีสะเกษ!J166"")"),0)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IFERROR(__xludf.DUMMYFUNCTION("IMPORTRANGE(""https://docs.google.com/spreadsheets/d/1XL5vhW3sbDhbH9Cz0tuDiY8C3ctxq1tqvaCgkFb8cCA/edit?usp=sharing"",""ศรีสะเกษ!J166"")"),0)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IFERROR(__xludf.DUMMYFUNCTION("IMPORTRANGE(""https://docs.google.com/spreadsheets/d/1XL5vhW3sbDhbH9Cz0tuDiY8C3ctxq1tqvaCgkFb8cCA/edit?usp=sharing"",""ศรีสะเกษ!J523"")"),5693826.01)</f>
        <v>5693826.0099999998</v>
      </c>
      <c r="K628" s="343">
        <f t="shared" ref="K628:K635" ca="1" si="129">IF(I628&gt;0,J628*100/I628,0)</f>
        <v>63.399973971811761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IFERROR(__xludf.DUMMYFUNCTION("IMPORTRANGE(""https://docs.google.com/spreadsheets/d/1XL5vhW3sbDhbH9Cz0tuDiY8C3ctxq1tqvaCgkFb8cCA/edit?usp=sharing"",""ศรีสะเกษ!J524"")"),441)</f>
        <v>441</v>
      </c>
      <c r="K629" s="343">
        <f t="shared" ca="1" si="129"/>
        <v>63.453237410071942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IFERROR(__xludf.DUMMYFUNCTION("IMPORTRANGE(""https://docs.google.com/spreadsheets/d/1XL5vhW3sbDhbH9Cz0tuDiY8C3ctxq1tqvaCgkFb8cCA/edit?usp=sharing"",""ศรีสะเกษ!J525"")"),3583208.66)</f>
        <v>3583208.66</v>
      </c>
      <c r="K630" s="343">
        <f t="shared" ca="1" si="129"/>
        <v>15.602770193914463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IFERROR(__xludf.DUMMYFUNCTION("IMPORTRANGE(""https://docs.google.com/spreadsheets/d/1XL5vhW3sbDhbH9Cz0tuDiY8C3ctxq1tqvaCgkFb8cCA/edit?usp=sharing"",""ศรีสะเกษ!J526"")"),543)</f>
        <v>543</v>
      </c>
      <c r="K631" s="343">
        <f t="shared" ca="1" si="129"/>
        <v>38.980617372577171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IFERROR(__xludf.DUMMYFUNCTION("IMPORTRANGE(""https://docs.google.com/spreadsheets/d/1XL5vhW3sbDhbH9Cz0tuDiY8C3ctxq1tqvaCgkFb8cCA/edit?usp=sharing"",""ศรีสะเกษ!J527"")"),625649.73)</f>
        <v>625649.73</v>
      </c>
      <c r="K632" s="343">
        <f t="shared" ca="1" si="129"/>
        <v>33.69066599440032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IFERROR(__xludf.DUMMYFUNCTION("IMPORTRANGE(""https://docs.google.com/spreadsheets/d/1XL5vhW3sbDhbH9Cz0tuDiY8C3ctxq1tqvaCgkFb8cCA/edit?usp=sharing"",""ศรีสะเกษ!J528"")"),74)</f>
        <v>74</v>
      </c>
      <c r="K633" s="343">
        <f t="shared" ca="1" si="129"/>
        <v>70.476190476190482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IFERROR(__xludf.DUMMYFUNCTION("IMPORTRANGE(""https://docs.google.com/spreadsheets/d/1XL5vhW3sbDhbH9Cz0tuDiY8C3ctxq1tqvaCgkFb8cCA/edit#gid=346597447"",""ศรีสะเกษ!J541"")"),0)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IFERROR(__xludf.DUMMYFUNCTION("IMPORTRANGE(""https://docs.google.com/spreadsheets/d/1XL5vhW3sbDhbH9Cz0tuDiY8C3ctxq1tqvaCgkFb8cCA/edit#gid=346597447"",""ศรีสะเกษ!J542"")"),0)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IFERROR(__xludf.DUMMYFUNCTION("IMPORTRANGE(""https://docs.google.com/spreadsheets/d/1XL5vhW3sbDhbH9Cz0tuDiY8C3ctxq1tqvaCgkFb8cCA/edit#gid=346597447"",""ศรีสะเกษ!I543"")"),0)</f>
        <v>0</v>
      </c>
      <c r="J648" s="585">
        <f ca="1">IFERROR(__xludf.DUMMYFUNCTION("IMPORTRANGE(""https://docs.google.com/spreadsheets/d/1XL5vhW3sbDhbH9Cz0tuDiY8C3ctxq1tqvaCgkFb8cCA/edit#gid=346597447"",""ศรีสะเกษ!J543"")"),0)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IFERROR(__xludf.DUMMYFUNCTION("IMPORTRANGE(""https://docs.google.com/spreadsheets/d/1XL5vhW3sbDhbH9Cz0tuDiY8C3ctxq1tqvaCgkFb8cCA/edit#gid=346597447"",""ศรีสะเกษ!L543"")"),0)</f>
        <v>0</v>
      </c>
      <c r="M648" s="570"/>
      <c r="N648" s="587">
        <f ca="1">IFERROR(__xludf.DUMMYFUNCTION("IMPORTRANGE(""https://docs.google.com/spreadsheets/d/1XL5vhW3sbDhbH9Cz0tuDiY8C3ctxq1tqvaCgkFb8cCA/edit#gid=346597447"",""ศรีสะเกษ!M543"")"),0)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IFERROR(__xludf.DUMMYFUNCTION("IMPORTRANGE(""https://docs.google.com/spreadsheets/d/1XL5vhW3sbDhbH9Cz0tuDiY8C3ctxq1tqvaCgkFb8cCA/edit#gid=346597447"",""ศรีสะเกษ!I544"")"),0)</f>
        <v>0</v>
      </c>
      <c r="J649" s="585">
        <f ca="1">IFERROR(__xludf.DUMMYFUNCTION("IMPORTRANGE(""https://docs.google.com/spreadsheets/d/1XL5vhW3sbDhbH9Cz0tuDiY8C3ctxq1tqvaCgkFb8cCA/edit#gid=346597447"",""ศรีสะเกษ!J544"")"),0)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IFERROR(__xludf.DUMMYFUNCTION("IMPORTRANGE(""https://docs.google.com/spreadsheets/d/1XL5vhW3sbDhbH9Cz0tuDiY8C3ctxq1tqvaCgkFb8cCA/edit#gid=346597447"",""ศรีสะเกษ!L544"")"),0)</f>
        <v>0</v>
      </c>
      <c r="M649" s="570"/>
      <c r="N649" s="587">
        <f ca="1">IFERROR(__xludf.DUMMYFUNCTION("IMPORTRANGE(""https://docs.google.com/spreadsheets/d/1XL5vhW3sbDhbH9Cz0tuDiY8C3ctxq1tqvaCgkFb8cCA/edit#gid=346597447"",""ศรีสะเกษ!M544"")"),0)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IFERROR(__xludf.DUMMYFUNCTION("IMPORTRANGE(""https://docs.google.com/spreadsheets/d/1XL5vhW3sbDhbH9Cz0tuDiY8C3ctxq1tqvaCgkFb8cCA/edit#gid=346597447"",""ศรีสะเกษ!I545"")"),0)</f>
        <v>0</v>
      </c>
      <c r="J650" s="585">
        <f ca="1">IFERROR(__xludf.DUMMYFUNCTION("IMPORTRANGE(""https://docs.google.com/spreadsheets/d/1XL5vhW3sbDhbH9Cz0tuDiY8C3ctxq1tqvaCgkFb8cCA/edit#gid=346597447"",""ศรีสะเกษ!J545"")"),0)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IFERROR(__xludf.DUMMYFUNCTION("IMPORTRANGE(""https://docs.google.com/spreadsheets/d/1XL5vhW3sbDhbH9Cz0tuDiY8C3ctxq1tqvaCgkFb8cCA/edit#gid=346597447"",""ศรีสะเกษ!L545"")"),0)</f>
        <v>0</v>
      </c>
      <c r="M650" s="570"/>
      <c r="N650" s="587">
        <f ca="1">IFERROR(__xludf.DUMMYFUNCTION("IMPORTRANGE(""https://docs.google.com/spreadsheets/d/1XL5vhW3sbDhbH9Cz0tuDiY8C3ctxq1tqvaCgkFb8cCA/edit#gid=346597447"",""ศรีสะเกษ!M545"")"),0)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IFERROR(__xludf.DUMMYFUNCTION("IMPORTRANGE(""https://docs.google.com/spreadsheets/d/1XL5vhW3sbDhbH9Cz0tuDiY8C3ctxq1tqvaCgkFb8cCA/edit#gid=346597447"",""ศรีสะเกษ!I546"")"),0)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IFERROR(__xludf.DUMMYFUNCTION("IMPORTRANGE(""https://docs.google.com/spreadsheets/d/1XL5vhW3sbDhbH9Cz0tuDiY8C3ctxq1tqvaCgkFb8cCA/edit#gid=346597447"",""ศรีสะเกษ!L546"")"),0)</f>
        <v>0</v>
      </c>
      <c r="M651" s="570"/>
      <c r="N651" s="587">
        <f ca="1">IFERROR(__xludf.DUMMYFUNCTION("IMPORTRANGE(""https://docs.google.com/spreadsheets/d/1XL5vhW3sbDhbH9Cz0tuDiY8C3ctxq1tqvaCgkFb8cCA/edit#gid=346597447"",""ศรีสะเกษ!M546"")"),0)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IFERROR(__xludf.DUMMYFUNCTION("IMPORTRANGE(""https://docs.google.com/spreadsheets/d/1XL5vhW3sbDhbH9Cz0tuDiY8C3ctxq1tqvaCgkFb8cCA/edit#gid=346597447"",""ศรีสะเกษ!J547"")"),0)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IFERROR(__xludf.DUMMYFUNCTION("IMPORTRANGE(""https://docs.google.com/spreadsheets/d/1XL5vhW3sbDhbH9Cz0tuDiY8C3ctxq1tqvaCgkFb8cCA/edit#gid=346597447"",""ศรีสะเกษ!J548"")"),0)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IFERROR(__xludf.DUMMYFUNCTION("IMPORTRANGE(""https://docs.google.com/spreadsheets/d/1XL5vhW3sbDhbH9Cz0tuDiY8C3ctxq1tqvaCgkFb8cCA/edit#gid=346597447"",""ศรีสะเกษ!J550"")"),0)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IFERROR(__xludf.DUMMYFUNCTION("IMPORTRANGE(""https://docs.google.com/spreadsheets/d/1XL5vhW3sbDhbH9Cz0tuDiY8C3ctxq1tqvaCgkFb8cCA/edit#gid=346597447"",""ศรีสะเกษ!J551"")"),0)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IFERROR(__xludf.DUMMYFUNCTION("IMPORTRANGE(""https://docs.google.com/spreadsheets/d/1XL5vhW3sbDhbH9Cz0tuDiY8C3ctxq1tqvaCgkFb8cCA/edit#gid=346597447"",""ศรีสะเกษ!J552"")"),0)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IFERROR(__xludf.DUMMYFUNCTION("IMPORTRANGE(""https://docs.google.com/spreadsheets/d/1XL5vhW3sbDhbH9Cz0tuDiY8C3ctxq1tqvaCgkFb8cCA/edit#gid=346597447"",""ศรีสะเกษ!J553"")"),0)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IFERROR(__xludf.DUMMYFUNCTION("IMPORTRANGE(""https://docs.google.com/spreadsheets/d/1XL5vhW3sbDhbH9Cz0tuDiY8C3ctxq1tqvaCgkFb8cCA/edit#gid=346597447"",""ศรีสะเกษ!J554"")"),0)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IFERROR(__xludf.DUMMYFUNCTION("IMPORTRANGE(""https://docs.google.com/spreadsheets/d/1XL5vhW3sbDhbH9Cz0tuDiY8C3ctxq1tqvaCgkFb8cCA/edit#gid=346597447"",""ศรีสะเกษ!J555"")"),0)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IFERROR(__xludf.DUMMYFUNCTION("IMPORTRANGE(""https://docs.google.com/spreadsheets/d/1XL5vhW3sbDhbH9Cz0tuDiY8C3ctxq1tqvaCgkFb8cCA/edit#gid=346597447"",""ศรีสะเกษ!J556"")"),0)</f>
        <v>0</v>
      </c>
      <c r="K661" s="586"/>
      <c r="L661" s="571">
        <f ca="1">IFERROR(__xludf.DUMMYFUNCTION("IMPORTRANGE(""https://docs.google.com/spreadsheets/d/1XL5vhW3sbDhbH9Cz0tuDiY8C3ctxq1tqvaCgkFb8cCA/edit#gid=346597447"",""ศรีสะเกษ!L556"")"),0)</f>
        <v>0</v>
      </c>
      <c r="M661" s="570"/>
      <c r="N661" s="587">
        <f ca="1">IFERROR(__xludf.DUMMYFUNCTION("IMPORTRANGE(""https://docs.google.com/spreadsheets/d/1XL5vhW3sbDhbH9Cz0tuDiY8C3ctxq1tqvaCgkFb8cCA/edit#gid=346597447"",""ศรีสะเกษ!M556"")"),0)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IFERROR(__xludf.DUMMYFUNCTION("IMPORTRANGE(""https://docs.google.com/spreadsheets/d/1XL5vhW3sbDhbH9Cz0tuDiY8C3ctxq1tqvaCgkFb8cCA/edit#gid=346597447"",""ศรีสะเกษ!J557"")"),0)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IFERROR(__xludf.DUMMYFUNCTION("IMPORTRANGE(""https://docs.google.com/spreadsheets/d/1XL5vhW3sbDhbH9Cz0tuDiY8C3ctxq1tqvaCgkFb8cCA/edit#gid=346597447"",""ศรีสะเกษ!I558"")"),0)</f>
        <v>0</v>
      </c>
      <c r="J663" s="585">
        <f ca="1">IFERROR(__xludf.DUMMYFUNCTION("IMPORTRANGE(""https://docs.google.com/spreadsheets/d/1XL5vhW3sbDhbH9Cz0tuDiY8C3ctxq1tqvaCgkFb8cCA/edit#gid=346597447"",""ศรีสะเกษ!J558"")"),0)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IFERROR(__xludf.DUMMYFUNCTION("IMPORTRANGE(""https://docs.google.com/spreadsheets/d/1XL5vhW3sbDhbH9Cz0tuDiY8C3ctxq1tqvaCgkFb8cCA/edit#gid=346597447"",""ศรีสะเกษ!I560"")"),0)</f>
        <v>0</v>
      </c>
      <c r="J665" s="585">
        <f ca="1">IFERROR(__xludf.DUMMYFUNCTION("IMPORTRANGE(""https://docs.google.com/spreadsheets/d/1XL5vhW3sbDhbH9Cz0tuDiY8C3ctxq1tqvaCgkFb8cCA/edit#gid=346597447"",""ศรีสะเกษ!J560"")"),0)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IFERROR(__xludf.DUMMYFUNCTION("IMPORTRANGE(""https://docs.google.com/spreadsheets/d/1XL5vhW3sbDhbH9Cz0tuDiY8C3ctxq1tqvaCgkFb8cCA/edit#gid=346597447"",""ศรีสะเกษ!L560"")"),0)</f>
        <v>0</v>
      </c>
      <c r="M665" s="570"/>
      <c r="N665" s="587">
        <f ca="1">IFERROR(__xludf.DUMMYFUNCTION("IMPORTRANGE(""https://docs.google.com/spreadsheets/d/1XL5vhW3sbDhbH9Cz0tuDiY8C3ctxq1tqvaCgkFb8cCA/edit#gid=346597447"",""ศรีสะเกษ!M560"")"),0)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IFERROR(__xludf.DUMMYFUNCTION("IMPORTRANGE(""https://docs.google.com/spreadsheets/d/1XL5vhW3sbDhbH9Cz0tuDiY8C3ctxq1tqvaCgkFb8cCA/edit#gid=346597447"",""ศรีสะเกษ!J561"")"),0)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IFERROR(__xludf.DUMMYFUNCTION("IMPORTRANGE(""https://docs.google.com/spreadsheets/d/1XL5vhW3sbDhbH9Cz0tuDiY8C3ctxq1tqvaCgkFb8cCA/edit#gid=346597447"",""ศรีสะเกษ!J562"")"),0)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IFERROR(__xludf.DUMMYFUNCTION("IMPORTRANGE(""https://docs.google.com/spreadsheets/d/1XL5vhW3sbDhbH9Cz0tuDiY8C3ctxq1tqvaCgkFb8cCA/edit#gid=346597447"",""ศรีสะเกษ!I563"")"),0)</f>
        <v>0</v>
      </c>
      <c r="J668" s="585">
        <f ca="1">IFERROR(__xludf.DUMMYFUNCTION("IMPORTRANGE(""https://docs.google.com/spreadsheets/d/1XL5vhW3sbDhbH9Cz0tuDiY8C3ctxq1tqvaCgkFb8cCA/edit#gid=346597447"",""ศรีสะเกษ!J563"")"),0)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IFERROR(__xludf.DUMMYFUNCTION("IMPORTRANGE(""https://docs.google.com/spreadsheets/d/1XL5vhW3sbDhbH9Cz0tuDiY8C3ctxq1tqvaCgkFb8cCA/edit#gid=346597447"",""ศรีสะเกษ!L563"")"),0)</f>
        <v>0</v>
      </c>
      <c r="M668" s="570"/>
      <c r="N668" s="587">
        <f ca="1">IFERROR(__xludf.DUMMYFUNCTION("IMPORTRANGE(""https://docs.google.com/spreadsheets/d/1XL5vhW3sbDhbH9Cz0tuDiY8C3ctxq1tqvaCgkFb8cCA/edit#gid=346597447"",""ศรีสะเกษ!M563"")"),0)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IFERROR(__xludf.DUMMYFUNCTION("IMPORTRANGE(""https://docs.google.com/spreadsheets/d/1XL5vhW3sbDhbH9Cz0tuDiY8C3ctxq1tqvaCgkFb8cCA/edit#gid=346597447"",""ศรีสะเกษ!J564"")"),0)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IFERROR(__xludf.DUMMYFUNCTION("IMPORTRANGE(""https://docs.google.com/spreadsheets/d/1XL5vhW3sbDhbH9Cz0tuDiY8C3ctxq1tqvaCgkFb8cCA/edit#gid=346597447"",""ศรีสะเกษ!J565"")"),0)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IFERROR(__xludf.DUMMYFUNCTION("IMPORTRANGE(""https://docs.google.com/spreadsheets/d/1XL5vhW3sbDhbH9Cz0tuDiY8C3ctxq1tqvaCgkFb8cCA/edit#gid=346597447"",""ศรีสะเกษ!I566"")"),0)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IFERROR(__xludf.DUMMYFUNCTION("IMPORTRANGE(""https://docs.google.com/spreadsheets/d/1XL5vhW3sbDhbH9Cz0tuDiY8C3ctxq1tqvaCgkFb8cCA/edit#gid=346597447"",""ศรีสะเกษ!L566"")"),0)</f>
        <v>0</v>
      </c>
      <c r="M671" s="570"/>
      <c r="N671" s="587">
        <f ca="1">IFERROR(__xludf.DUMMYFUNCTION("IMPORTRANGE(""https://docs.google.com/spreadsheets/d/1XL5vhW3sbDhbH9Cz0tuDiY8C3ctxq1tqvaCgkFb8cCA/edit#gid=346597447"",""ศรีสะเกษ!M566"")"),0)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IFERROR(__xludf.DUMMYFUNCTION("IMPORTRANGE(""https://docs.google.com/spreadsheets/d/1XL5vhW3sbDhbH9Cz0tuDiY8C3ctxq1tqvaCgkFb8cCA/edit#gid=346597447"",""ศรีสะเกษ!J567"")"),0)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IFERROR(__xludf.DUMMYFUNCTION("IMPORTRANGE(""https://docs.google.com/spreadsheets/d/1XL5vhW3sbDhbH9Cz0tuDiY8C3ctxq1tqvaCgkFb8cCA/edit#gid=346597447"",""ศรีสะเกษ!J568"")"),0)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IFERROR(__xludf.DUMMYFUNCTION("IMPORTRANGE(""https://docs.google.com/spreadsheets/d/1XL5vhW3sbDhbH9Cz0tuDiY8C3ctxq1tqvaCgkFb8cCA/edit#gid=346597447"",""ศรีสะเกษ!J569"")"),0)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IFERROR(__xludf.DUMMYFUNCTION("IMPORTRANGE(""https://docs.google.com/spreadsheets/d/1XL5vhW3sbDhbH9Cz0tuDiY8C3ctxq1tqvaCgkFb8cCA/edit#gid=346597447"",""ศรีสะเกษ!J570"")"),0)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IFERROR(__xludf.DUMMYFUNCTION("IMPORTRANGE(""https://docs.google.com/spreadsheets/d/1XL5vhW3sbDhbH9Cz0tuDiY8C3ctxq1tqvaCgkFb8cCA/edit#gid=346597447"",""ศรีสะเกษ!J571"")"),0)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IFERROR(__xludf.DUMMYFUNCTION("IMPORTRANGE(""https://docs.google.com/spreadsheets/d/1XL5vhW3sbDhbH9Cz0tuDiY8C3ctxq1tqvaCgkFb8cCA/edit#gid=346597447"",""ศรีสะเกษ!J572"")"),0)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6944286</v>
      </c>
      <c r="M8" s="23">
        <f t="shared" ca="1" si="0"/>
        <v>3725730</v>
      </c>
      <c r="N8" s="23">
        <f t="shared" ca="1" si="0"/>
        <v>4467221.07</v>
      </c>
      <c r="O8" s="22">
        <f t="shared" ref="O8:O16" ca="1" si="1">IF(L8&gt;0,N8*100/L8,0)</f>
        <v>64.329451148757414</v>
      </c>
      <c r="P8" s="22">
        <f t="shared" ref="P8:P16" ca="1" si="2">IF(M8&gt;0,N8*100/M8,0)</f>
        <v>119.90190029873341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6944286</v>
      </c>
      <c r="M10" s="30">
        <f t="shared" ca="1" si="4"/>
        <v>3725730</v>
      </c>
      <c r="N10" s="30">
        <f t="shared" ca="1" si="4"/>
        <v>4467221.07</v>
      </c>
      <c r="O10" s="29">
        <f t="shared" ca="1" si="1"/>
        <v>64.329451148757414</v>
      </c>
      <c r="P10" s="29">
        <f t="shared" ca="1" si="2"/>
        <v>119.90190029873341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6757886</v>
      </c>
      <c r="M12" s="38">
        <f t="shared" ca="1" si="6"/>
        <v>3539330</v>
      </c>
      <c r="N12" s="38">
        <f t="shared" ca="1" si="6"/>
        <v>4280821.07</v>
      </c>
      <c r="O12" s="38">
        <f t="shared" ca="1" si="1"/>
        <v>63.345565018409602</v>
      </c>
      <c r="P12" s="38">
        <f t="shared" ca="1" si="2"/>
        <v>120.95004054439683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4421986</v>
      </c>
      <c r="M14" s="38">
        <f t="shared" si="8"/>
        <v>0</v>
      </c>
      <c r="N14" s="38">
        <f t="shared" ca="1" si="8"/>
        <v>1277237.27</v>
      </c>
      <c r="O14" s="38">
        <f t="shared" ca="1" si="1"/>
        <v>28.883792712143368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186400</v>
      </c>
      <c r="M16" s="38">
        <f t="shared" ca="1" si="10"/>
        <v>186400</v>
      </c>
      <c r="N16" s="38">
        <f t="shared" ca="1" si="10"/>
        <v>186400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4665260</v>
      </c>
      <c r="M18" s="23">
        <f t="shared" ca="1" si="11"/>
        <v>3725730</v>
      </c>
      <c r="N18" s="23">
        <f t="shared" ca="1" si="11"/>
        <v>3189983.8000000003</v>
      </c>
      <c r="O18" s="22">
        <f t="shared" ref="O18:O20" ca="1" si="12">IF(L18&gt;0,N18*100/L18,0)</f>
        <v>68.377406618280659</v>
      </c>
      <c r="P18" s="22">
        <f t="shared" ref="P18:P26" ca="1" si="13">IF(M18&gt;0,N18*100/M18,0)</f>
        <v>85.620369699360936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4665260</v>
      </c>
      <c r="M20" s="30">
        <f t="shared" ca="1" si="15"/>
        <v>3725730</v>
      </c>
      <c r="N20" s="30">
        <f t="shared" ca="1" si="15"/>
        <v>3189983.8000000003</v>
      </c>
      <c r="O20" s="29">
        <f t="shared" ca="1" si="12"/>
        <v>68.377406618280659</v>
      </c>
      <c r="P20" s="29">
        <f t="shared" ca="1" si="13"/>
        <v>85.620369699360936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4478860</v>
      </c>
      <c r="M22" s="41">
        <f t="shared" ca="1" si="18"/>
        <v>3539330</v>
      </c>
      <c r="N22" s="38">
        <f t="shared" ca="1" si="18"/>
        <v>3003583.8000000003</v>
      </c>
      <c r="O22" s="38">
        <f t="shared" ca="1" si="17"/>
        <v>67.061345967500657</v>
      </c>
      <c r="P22" s="38">
        <f t="shared" ca="1" si="13"/>
        <v>84.863061652911711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186400</v>
      </c>
      <c r="M26" s="49">
        <f t="shared" ca="1" si="22"/>
        <v>186400</v>
      </c>
      <c r="N26" s="49">
        <f t="shared" ca="1" si="22"/>
        <v>186400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2279026</v>
      </c>
      <c r="M28" s="23">
        <f t="shared" si="23"/>
        <v>0</v>
      </c>
      <c r="N28" s="23">
        <f t="shared" ca="1" si="23"/>
        <v>1277237.27</v>
      </c>
      <c r="O28" s="22">
        <f t="shared" ref="O28:O30" ca="1" si="24">IF(L28&gt;0,N28*100/L28,0)</f>
        <v>56.043119736238197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2279026</v>
      </c>
      <c r="M30" s="30">
        <f t="shared" si="27"/>
        <v>0</v>
      </c>
      <c r="N30" s="30">
        <f t="shared" ca="1" si="27"/>
        <v>1277237.27</v>
      </c>
      <c r="O30" s="29">
        <f t="shared" ca="1" si="24"/>
        <v>56.043119736238197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2279026</v>
      </c>
      <c r="M32" s="38">
        <f t="shared" si="30"/>
        <v>0</v>
      </c>
      <c r="N32" s="38">
        <f t="shared" ca="1" si="30"/>
        <v>1277237.27</v>
      </c>
      <c r="O32" s="38">
        <f t="shared" ca="1" si="29"/>
        <v>56.043119736238197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2279026</v>
      </c>
      <c r="M34" s="38">
        <f t="shared" si="32"/>
        <v>0</v>
      </c>
      <c r="N34" s="38">
        <f t="shared" ca="1" si="32"/>
        <v>1277237.27</v>
      </c>
      <c r="O34" s="38">
        <f t="shared" ca="1" si="29"/>
        <v>56.043119736238197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4665260</v>
      </c>
      <c r="M37" s="54">
        <f t="shared" ca="1" si="33"/>
        <v>3725730</v>
      </c>
      <c r="N37" s="54">
        <f t="shared" ca="1" si="33"/>
        <v>3189983.8</v>
      </c>
      <c r="O37" s="55">
        <f t="shared" ca="1" si="29"/>
        <v>68.377406618280659</v>
      </c>
      <c r="P37" s="55">
        <f t="shared" ca="1" si="25"/>
        <v>85.620369699360936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882500</v>
      </c>
      <c r="M41" s="78">
        <f t="shared" ca="1" si="34"/>
        <v>709500</v>
      </c>
      <c r="N41" s="78">
        <f t="shared" ca="1" si="34"/>
        <v>662928.21</v>
      </c>
      <c r="O41" s="77">
        <f t="shared" ref="O41:O43" ca="1" si="35">IF(L41&gt;0,N41*100/L41,0)</f>
        <v>75.119343909348444</v>
      </c>
      <c r="P41" s="77">
        <f t="shared" ref="P41:P43" ca="1" si="36">IF(M41&gt;0,N41*100/M41,0)</f>
        <v>93.435970401691335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882500</v>
      </c>
      <c r="M43" s="78">
        <f t="shared" ca="1" si="38"/>
        <v>709500</v>
      </c>
      <c r="N43" s="78">
        <f t="shared" ca="1" si="38"/>
        <v>662928.21</v>
      </c>
      <c r="O43" s="77">
        <f t="shared" ca="1" si="35"/>
        <v>75.119343909348444</v>
      </c>
      <c r="P43" s="77">
        <f t="shared" ca="1" si="36"/>
        <v>93.435970401691335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622">
        <f ca="1">IFERROR(__xludf.DUMMYFUNCTION("IMPORTRANGE(""https://docs.google.com/spreadsheets/d/1Yj_ptqi66GCucihVvJfMjLAmec39IyEx_6qawtMGysU/edit?usp=sharing"",""สบก!Q51"")"),615100)</f>
        <v>615100</v>
      </c>
      <c r="N45" s="622">
        <f ca="1">IFERROR(__xludf.DUMMYFUNCTION("IMPORTRANGE(""https://docs.google.com/spreadsheets/d/1Yj_ptqi66GCucihVvJfMjLAmec39IyEx_6qawtMGysU/edit?usp=sharing"",""สบก!R51"")"),568528.21)</f>
        <v>568528.21</v>
      </c>
      <c r="O45" s="623">
        <f ca="1">IF(L45&gt;0,N45*100/L45,0)</f>
        <v>72.139095292475574</v>
      </c>
      <c r="P45" s="623">
        <f ca="1">IF(M45&gt;0,N45*100/M45,0)</f>
        <v>92.428582344334259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IFERROR(__xludf.DUMMYFUNCTION("IMPORTRANGE(""https://docs.google.com/spreadsheets/d/1Yj_ptqi66GCucihVvJfMjLAmec39IyEx_6qawtMGysU/edit?usp=sharing"",""สบก!M51"")"),788100)</f>
        <v>788100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IFERROR(__xludf.DUMMYFUNCTION("IMPORTRANGE(""https://docs.google.com/spreadsheets/d/1Yj_ptqi66GCucihVvJfMjLAmec39IyEx_6qawtMGysU/edit?usp=sharing"",""สบก!N51"")"),0)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IFERROR(__xludf.DUMMYFUNCTION("IMPORTRANGE(""https://docs.google.com/spreadsheets/d/1Yj_ptqi66GCucihVvJfMjLAmec39IyEx_6qawtMGysU/edit?usp=sharing"",""สบก!O51"")"),94400)</f>
        <v>94400</v>
      </c>
      <c r="M49" s="625">
        <f ca="1">L49</f>
        <v>94400</v>
      </c>
      <c r="N49" s="622">
        <f ca="1">IFERROR(__xludf.DUMMYFUNCTION("IMPORTRANGE(""https://docs.google.com/spreadsheets/d/1Yj_ptqi66GCucihVvJfMjLAmec39IyEx_6qawtMGysU/edit?usp=sharing"",""สบก!S51"")"),94400)</f>
        <v>94400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586990</v>
      </c>
      <c r="N53" s="121">
        <f t="shared" ca="1" si="39"/>
        <v>584396.32999999996</v>
      </c>
      <c r="O53" s="120">
        <f t="shared" ref="O53:O55" ca="1" si="40">IF(L53&gt;0,N53*100/L53,0)</f>
        <v>75.620643115942016</v>
      </c>
      <c r="P53" s="120">
        <f t="shared" ref="P53:P55" ca="1" si="41">IF(M53&gt;0,N53*100/M53,0)</f>
        <v>99.558140683827645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586990</v>
      </c>
      <c r="N55" s="121">
        <f t="shared" ca="1" si="43"/>
        <v>584396.32999999996</v>
      </c>
      <c r="O55" s="120">
        <f t="shared" ca="1" si="40"/>
        <v>75.620643115942016</v>
      </c>
      <c r="P55" s="120">
        <f t="shared" ca="1" si="41"/>
        <v>99.558140683827645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622">
        <f ca="1">IFERROR(__xludf.DUMMYFUNCTION("IMPORTRANGE(""https://docs.google.com/spreadsheets/d/1Yj_ptqi66GCucihVvJfMjLAmec39IyEx_6qawtMGysU/edit?usp=sharing"",""สบก!Z51"")"),586990)</f>
        <v>586990</v>
      </c>
      <c r="N57" s="622">
        <f ca="1">IFERROR(__xludf.DUMMYFUNCTION("IMPORTRANGE(""https://docs.google.com/spreadsheets/d/1Yj_ptqi66GCucihVvJfMjLAmec39IyEx_6qawtMGysU/edit?usp=sharing"",""สบก!AA51"")"),584396.33)</f>
        <v>584396.32999999996</v>
      </c>
      <c r="O57" s="623">
        <f ca="1">IF(L57&gt;0,N57*100/L57,0)</f>
        <v>75.620643115942016</v>
      </c>
      <c r="P57" s="623">
        <f ca="1">IF(M57&gt;0,N57*100/M57,0)</f>
        <v>99.558140683827645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IFERROR(__xludf.DUMMYFUNCTION("IMPORTRANGE(""https://docs.google.com/spreadsheets/d/1Yj_ptqi66GCucihVvJfMjLAmec39IyEx_6qawtMGysU/edit?usp=sharing"",""สบก!V51"")"),772800)</f>
        <v>772800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IFERROR(__xludf.DUMMYFUNCTION("IMPORTRANGE(""https://docs.google.com/spreadsheets/d/1Yj_ptqi66GCucihVvJfMjLAmec39IyEx_6qawtMGysU/edit?usp=sharing"",""สบก!W51"")"),0)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IFERROR(__xludf.DUMMYFUNCTION("IMPORTRANGE(""https://docs.google.com/spreadsheets/d/1Yj_ptqi66GCucihVvJfMjLAmec39IyEx_6qawtMGysU/edit?usp=sharing"",""สบก!X51"")"),0)</f>
        <v>0</v>
      </c>
      <c r="M61" s="625"/>
      <c r="N61" s="622">
        <f ca="1">IFERROR(__xludf.DUMMYFUNCTION("IMPORTRANGE(""https://docs.google.com/spreadsheets/d/1Yj_ptqi66GCucihVvJfMjLAmec39IyEx_6qawtMGysU/edit?usp=sharing"",""สบก!AB51"")"),0)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502320</v>
      </c>
      <c r="N66" s="152">
        <f t="shared" ca="1" si="45"/>
        <v>302156.59999999998</v>
      </c>
      <c r="O66" s="151">
        <f t="shared" ref="O66:O68" ca="1" si="46">IF(L66&gt;0,N66*100/L66,0)</f>
        <v>52.366828422876942</v>
      </c>
      <c r="P66" s="151">
        <f t="shared" ref="P66:P68" ca="1" si="47">IF(M66&gt;0,N66*100/M66,0)</f>
        <v>60.15221372830068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502320</v>
      </c>
      <c r="N68" s="157">
        <f t="shared" ca="1" si="49"/>
        <v>302156.59999999998</v>
      </c>
      <c r="O68" s="156">
        <f t="shared" ca="1" si="46"/>
        <v>52.366828422876942</v>
      </c>
      <c r="P68" s="156">
        <f t="shared" ca="1" si="47"/>
        <v>60.15221372830068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577000</v>
      </c>
      <c r="M70" s="626">
        <f ca="1">IFERROR(__xludf.DUMMYFUNCTION("IMPORTRANGE(""https://docs.google.com/spreadsheets/d/1Yj_ptqi66GCucihVvJfMjLAmec39IyEx_6qawtMGysU/edit?usp=sharing"",""สบก!AI51"")"),502320)</f>
        <v>502320</v>
      </c>
      <c r="N70" s="627">
        <f ca="1">IFERROR(__xludf.DUMMYFUNCTION("IMPORTRANGE(""https://docs.google.com/spreadsheets/d/1Yj_ptqi66GCucihVvJfMjLAmec39IyEx_6qawtMGysU/edit?usp=sharing"",""สบก!AJ51"")"),302156.6)</f>
        <v>302156.59999999998</v>
      </c>
      <c r="O70" s="169">
        <f ca="1">IF(L70&gt;0,N70*100/L70,0)</f>
        <v>52.366828422876942</v>
      </c>
      <c r="P70" s="169">
        <f ca="1">IF(M70&gt;0,N70*100/M70,0)</f>
        <v>60.15221372830068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IFERROR(__xludf.DUMMYFUNCTION("IMPORTRANGE(""https://docs.google.com/spreadsheets/d/1Yj_ptqi66GCucihVvJfMjLAmec39IyEx_6qawtMGysU/edit?usp=sharing"",""สบก!AF51"")"),372000)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IFERROR(__xludf.DUMMYFUNCTION("IMPORTRANGE(""https://docs.google.com/spreadsheets/d/1Yj_ptqi66GCucihVvJfMjLAmec39IyEx_6qawtMGysU/edit?usp=sharing"",""สบก!AG51"")"),0)</f>
        <v>0</v>
      </c>
      <c r="M74" s="625"/>
      <c r="N74" s="622">
        <f ca="1">IFERROR(__xludf.DUMMYFUNCTION("IMPORTRANGE(""https://docs.google.com/spreadsheets/d/1Yj_ptqi66GCucihVvJfMjLAmec39IyEx_6qawtMGysU/edit?usp=sharing"",""สบก!AK51"")"),0)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154950</v>
      </c>
      <c r="O94" s="151">
        <f t="shared" ref="O94:O96" ca="1" si="53">IF(L94&gt;0,N94*100/L94,0)</f>
        <v>72.372723026623078</v>
      </c>
      <c r="P94" s="151">
        <f t="shared" ref="P94:P96" ca="1" si="54">IF(M94&gt;0,N94*100/M94,0)</f>
        <v>79.848496560253537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154950</v>
      </c>
      <c r="O96" s="156">
        <f t="shared" ca="1" si="53"/>
        <v>72.372723026623078</v>
      </c>
      <c r="P96" s="156">
        <f t="shared" ca="1" si="54"/>
        <v>79.848496560253537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IFERROR(__xludf.DUMMYFUNCTION("IMPORTRANGE(""https://docs.google.com/spreadsheets/d/1Yj_ptqi66GCucihVvJfMjLAmec39IyEx_6qawtMGysU/edit?usp=sharing"",""สบก!AR51"")"),102055)</f>
        <v>102055</v>
      </c>
      <c r="N98" s="627">
        <f ca="1">IFERROR(__xludf.DUMMYFUNCTION("IMPORTRANGE(""https://docs.google.com/spreadsheets/d/1Yj_ptqi66GCucihVvJfMjLAmec39IyEx_6qawtMGysU/edit?usp=sharing"",""สบก!AS51"")"),62950)</f>
        <v>62950</v>
      </c>
      <c r="O98" s="169">
        <f ca="1">IF(L98&gt;0,N98*100/L98,0)</f>
        <v>51.556101556101559</v>
      </c>
      <c r="P98" s="169">
        <f ca="1">IF(M98&gt;0,N98*100/M98,0)</f>
        <v>61.682426142766154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IFERROR(__xludf.DUMMYFUNCTION("IMPORTRANGE(""https://docs.google.com/spreadsheets/d/1Yj_ptqi66GCucihVvJfMjLAmec39IyEx_6qawtMGysU/edit?usp=sharing"",""สบก!AP51"")"),92000)</f>
        <v>92000</v>
      </c>
      <c r="M102" s="625">
        <f ca="1">L102</f>
        <v>92000</v>
      </c>
      <c r="N102" s="622">
        <f ca="1">IFERROR(__xludf.DUMMYFUNCTION("IMPORTRANGE(""https://docs.google.com/spreadsheets/d/1Yj_ptqi66GCucihVvJfMjLAmec39IyEx_6qawtMGysU/edit?usp=sharing"",""สบก!AT51"")"),92000)</f>
        <v>92000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IFERROR(__xludf.DUMMYFUNCTION("IMPORTRANGE(""https://docs.google.com/spreadsheets/d/1Yj_ptqi66GCucihVvJfMjLAmec39IyEx_6qawtMGysU/edit?usp=sharing"",""สบก!BA51"")"),0)</f>
        <v>0</v>
      </c>
      <c r="N122" s="627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IFERROR(__xludf.DUMMYFUNCTION("IMPORTRANGE(""https://docs.google.com/spreadsheets/d/1Yj_ptqi66GCucihVvJfMjLAmec39IyEx_6qawtMGysU/edit?usp=sharing"",""สบก!AY51"")"),0)</f>
        <v>0</v>
      </c>
      <c r="M126" s="625"/>
      <c r="N126" s="622">
        <f ca="1">IFERROR(__xludf.DUMMYFUNCTION("IMPORTRANGE(""https://docs.google.com/spreadsheets/d/1Yj_ptqi66GCucihVvJfMjLAmec39IyEx_6qawtMGysU/edit?usp=sharing"",""สบก!BC51"")"),0)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619500</v>
      </c>
      <c r="M140" s="152">
        <f t="shared" ca="1" si="64"/>
        <v>503025</v>
      </c>
      <c r="N140" s="152">
        <f t="shared" ca="1" si="64"/>
        <v>410057.49</v>
      </c>
      <c r="O140" s="151">
        <f t="shared" ref="O140:O142" ca="1" si="65">IF(L140&gt;0,N140*100/L140,0)</f>
        <v>66.19168523002422</v>
      </c>
      <c r="P140" s="151">
        <f t="shared" ref="P140:P142" ca="1" si="66">IF(M140&gt;0,N140*100/M140,0)</f>
        <v>81.518312211122705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619500</v>
      </c>
      <c r="M142" s="157">
        <f t="shared" ca="1" si="68"/>
        <v>503025</v>
      </c>
      <c r="N142" s="157">
        <f t="shared" ca="1" si="68"/>
        <v>410057.49</v>
      </c>
      <c r="O142" s="156">
        <f t="shared" ca="1" si="65"/>
        <v>66.19168523002422</v>
      </c>
      <c r="P142" s="156">
        <f t="shared" ca="1" si="66"/>
        <v>81.518312211122705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619500</v>
      </c>
      <c r="M144" s="626">
        <f ca="1">IFERROR(__xludf.DUMMYFUNCTION("IMPORTRANGE(""https://docs.google.com/spreadsheets/d/1Yj_ptqi66GCucihVvJfMjLAmec39IyEx_6qawtMGysU/edit?usp=sharing"",""สบก!BJ51"")"),503025)</f>
        <v>503025</v>
      </c>
      <c r="N144" s="627">
        <f ca="1">IFERROR(__xludf.DUMMYFUNCTION("IMPORTRANGE(""https://docs.google.com/spreadsheets/d/1Yj_ptqi66GCucihVvJfMjLAmec39IyEx_6qawtMGysU/edit?usp=sharing"",""สบก!BK51"")"),410057.49)</f>
        <v>410057.49</v>
      </c>
      <c r="O144" s="169">
        <f ca="1">IF(L144&gt;0,N144*100/L144,0)</f>
        <v>66.19168523002422</v>
      </c>
      <c r="P144" s="169">
        <f ca="1">IF(M144&gt;0,N144*100/M144,0)</f>
        <v>81.518312211122705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IFERROR(__xludf.DUMMYFUNCTION("IMPORTRANGE(""https://docs.google.com/spreadsheets/d/1Yj_ptqi66GCucihVvJfMjLAmec39IyEx_6qawtMGysU/edit?usp=sharing"",""สบก!BG51"")"),355500)</f>
        <v>355500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IFERROR(__xludf.DUMMYFUNCTION("IMPORTRANGE(""https://docs.google.com/spreadsheets/d/1Yj_ptqi66GCucihVvJfMjLAmec39IyEx_6qawtMGysU/edit?usp=sharing"",""สบก!BH51"")"),0)</f>
        <v>0</v>
      </c>
      <c r="M148" s="625"/>
      <c r="N148" s="622">
        <f ca="1">IFERROR(__xludf.DUMMYFUNCTION("IMPORTRANGE(""https://docs.google.com/spreadsheets/d/1Yj_ptqi66GCucihVvJfMjLAmec39IyEx_6qawtMGysU/edit?usp=sharing"",""สบก!BL51"")"),0)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IFERROR(__xludf.DUMMYFUNCTION("IMPORTRANGE(""https://docs.google.com/spreadsheets/d/1Yj_ptqi66GCucihVvJfMjLAmec39IyEx_6qawtMGysU/edit?usp=sharing"",""สบก!BS51"")"),20210)</f>
        <v>20210</v>
      </c>
      <c r="N224" s="627">
        <f ca="1">IFERROR(__xludf.DUMMYFUNCTION("IMPORTRANGE(""https://docs.google.com/spreadsheets/d/1Yj_ptqi66GCucihVvJfMjLAmec39IyEx_6qawtMGysU/edit?usp=sharing"",""สบก!BT51"")"),20210)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IFERROR(__xludf.DUMMYFUNCTION("IMPORTRANGE(""https://docs.google.com/spreadsheets/d/1Yj_ptqi66GCucihVvJfMjLAmec39IyEx_6qawtMGysU/edit?usp=sharing"",""สบก!BQ51"")"),0)</f>
        <v>0</v>
      </c>
      <c r="M228" s="625"/>
      <c r="N228" s="622">
        <f ca="1">IFERROR(__xludf.DUMMYFUNCTION("IMPORTRANGE(""https://docs.google.com/spreadsheets/d/1Yj_ptqi66GCucihVvJfMjLAmec39IyEx_6qawtMGysU/edit?usp=sharing"",""สบก!BU51"")"),0)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54255</v>
      </c>
      <c r="O250" s="151">
        <f t="shared" ref="O250:O252" ca="1" si="78">IF(L250&gt;0,N250*100/L250,0)</f>
        <v>60.960674157303373</v>
      </c>
      <c r="P250" s="151">
        <f t="shared" ref="P250:P252" ca="1" si="79">IF(M250&gt;0,N250*100/M250,0)</f>
        <v>60.960674157303373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54255</v>
      </c>
      <c r="O252" s="156">
        <f t="shared" ca="1" si="78"/>
        <v>60.960674157303373</v>
      </c>
      <c r="P252" s="156">
        <f t="shared" ca="1" si="79"/>
        <v>60.960674157303373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IFERROR(__xludf.DUMMYFUNCTION("IMPORTRANGE(""https://docs.google.com/spreadsheets/d/1Yj_ptqi66GCucihVvJfMjLAmec39IyEx_6qawtMGysU/edit?usp=sharing"",""สบก!CB51"")"),89000)</f>
        <v>89000</v>
      </c>
      <c r="N254" s="627">
        <f ca="1">IFERROR(__xludf.DUMMYFUNCTION("IMPORTRANGE(""https://docs.google.com/spreadsheets/d/1Yj_ptqi66GCucihVvJfMjLAmec39IyEx_6qawtMGysU/edit?usp=sharing"",""สบก!CC51"")"),54255)</f>
        <v>54255</v>
      </c>
      <c r="O254" s="169">
        <f ca="1">IF(L254&gt;0,N254*100/L254,0)</f>
        <v>60.960674157303373</v>
      </c>
      <c r="P254" s="169">
        <f ca="1">IF(M254&gt;0,N254*100/M254,0)</f>
        <v>60.960674157303373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IFERROR(__xludf.DUMMYFUNCTION("IMPORTRANGE(""https://docs.google.com/spreadsheets/d/1Yj_ptqi66GCucihVvJfMjLAmec39IyEx_6qawtMGysU/edit?usp=sharing"",""สบก!BZ51"")"),0)</f>
        <v>0</v>
      </c>
      <c r="M258" s="625"/>
      <c r="N258" s="622">
        <f ca="1">IFERROR(__xludf.DUMMYFUNCTION("IMPORTRANGE(""https://docs.google.com/spreadsheets/d/1Yj_ptqi66GCucihVvJfMjLAmec39IyEx_6qawtMGysU/edit?usp=sharing"",""สบก!CD51"")"),0)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IFERROR(__xludf.DUMMYFUNCTION("IMPORTRANGE(""https://docs.google.com/spreadsheets/d/1Yj_ptqi66GCucihVvJfMjLAmec39IyEx_6qawtMGysU/edit?usp=sharing"",""สบก!CK51"")"),0)</f>
        <v>0</v>
      </c>
      <c r="N275" s="627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IFERROR(__xludf.DUMMYFUNCTION("IMPORTRANGE(""https://docs.google.com/spreadsheets/d/1Yj_ptqi66GCucihVvJfMjLAmec39IyEx_6qawtMGysU/edit?usp=sharing"",""สบก!CI51"")"),0)</f>
        <v>0</v>
      </c>
      <c r="M279" s="625"/>
      <c r="N279" s="622">
        <f ca="1">IFERROR(__xludf.DUMMYFUNCTION("IMPORTRANGE(""https://docs.google.com/spreadsheets/d/1Yj_ptqi66GCucihVvJfMjLAmec39IyEx_6qawtMGysU/edit?usp=sharing"",""สบก!CM51"")"),0)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IFERROR(__xludf.DUMMYFUNCTION("IMPORTRANGE(""https://docs.google.com/spreadsheets/d/1Yj_ptqi66GCucihVvJfMjLAmec39IyEx_6qawtMGysU/edit?usp=sharing"",""สบก!CT51"")"),0)</f>
        <v>0</v>
      </c>
      <c r="N294" s="627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IFERROR(__xludf.DUMMYFUNCTION("IMPORTRANGE(""https://docs.google.com/spreadsheets/d/1Yj_ptqi66GCucihVvJfMjLAmec39IyEx_6qawtMGysU/edit?usp=sharing"",""สบก!CR51"")"),0)</f>
        <v>0</v>
      </c>
      <c r="M298" s="625"/>
      <c r="N298" s="622">
        <f ca="1">IFERROR(__xludf.DUMMYFUNCTION("IMPORTRANGE(""https://docs.google.com/spreadsheets/d/1Yj_ptqi66GCucihVvJfMjLAmec39IyEx_6qawtMGysU/edit?usp=sharing"",""สบก!CV51"")"),0)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IFERROR(__xludf.DUMMYFUNCTION("IMPORTRANGE(""https://docs.google.com/spreadsheets/d/1Yj_ptqi66GCucihVvJfMjLAmec39IyEx_6qawtMGysU/edit?usp=sharing"",""สบก!DC51"")"),0)</f>
        <v>0</v>
      </c>
      <c r="N314" s="627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IFERROR(__xludf.DUMMYFUNCTION("IMPORTRANGE(""https://docs.google.com/spreadsheets/d/1Yj_ptqi66GCucihVvJfMjLAmec39IyEx_6qawtMGysU/edit?usp=sharing"",""สบก!DA51"")"),0)</f>
        <v>0</v>
      </c>
      <c r="M318" s="625"/>
      <c r="N318" s="622">
        <f ca="1">IFERROR(__xludf.DUMMYFUNCTION("IMPORTRANGE(""https://docs.google.com/spreadsheets/d/1Yj_ptqi66GCucihVvJfMjLAmec39IyEx_6qawtMGysU/edit?usp=sharing"",""สบก!DE51"")"),0)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IFERROR(__xludf.DUMMYFUNCTION("IMPORTRANGE(""https://docs.google.com/spreadsheets/d/1XL5vhW3sbDhbH9Cz0tuDiY8C3ctxq1tqvaCgkFb8cCA/edit?usp=sharing"",""สกลนคร!J228"")"),219)</f>
        <v>219</v>
      </c>
      <c r="K328" s="318">
        <f ca="1">IF(I328&gt;0,J328*100/I328,0)</f>
        <v>16.102941176470587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1120630</v>
      </c>
      <c r="N329" s="152">
        <f t="shared" ca="1" si="98"/>
        <v>1001030.17</v>
      </c>
      <c r="O329" s="151">
        <f t="shared" ref="O329:O331" ca="1" si="99">IF(L329&gt;0,N329*100/L329,0)</f>
        <v>67.176470154011341</v>
      </c>
      <c r="P329" s="151">
        <f t="shared" ref="P329:P331" ca="1" si="100">IF(M329&gt;0,N329*100/M329,0)</f>
        <v>89.327447061028167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1120630</v>
      </c>
      <c r="N331" s="157">
        <f t="shared" ca="1" si="102"/>
        <v>1001030.17</v>
      </c>
      <c r="O331" s="156">
        <f t="shared" ca="1" si="99"/>
        <v>67.176470154011341</v>
      </c>
      <c r="P331" s="156">
        <f t="shared" ca="1" si="100"/>
        <v>89.327447061028167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6">
        <f ca="1">IFERROR(__xludf.DUMMYFUNCTION("IMPORTRANGE(""https://docs.google.com/spreadsheets/d/1Yj_ptqi66GCucihVvJfMjLAmec39IyEx_6qawtMGysU/edit?usp=sharing"",""สบก!DL51"")"),1120630)</f>
        <v>1120630</v>
      </c>
      <c r="N333" s="627">
        <f ca="1">IFERROR(__xludf.DUMMYFUNCTION("IMPORTRANGE(""https://docs.google.com/spreadsheets/d/1Yj_ptqi66GCucihVvJfMjLAmec39IyEx_6qawtMGysU/edit?usp=sharing"",""สบก!DM51"")"),1001030.17)</f>
        <v>1001030.17</v>
      </c>
      <c r="O333" s="169">
        <f ca="1">IF(L333&gt;0,N333*100/L333,0)</f>
        <v>67.176470154011341</v>
      </c>
      <c r="P333" s="169">
        <f ca="1">IF(M333&gt;0,N333*100/M333,0)</f>
        <v>89.327447061028167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IFERROR(__xludf.DUMMYFUNCTION("IMPORTRANGE(""https://docs.google.com/spreadsheets/d/1Yj_ptqi66GCucihVvJfMjLAmec39IyEx_6qawtMGysU/edit?usp=sharing"",""สบก!DJ51"")"),0)</f>
        <v>0</v>
      </c>
      <c r="M337" s="625"/>
      <c r="N337" s="622">
        <f ca="1">IFERROR(__xludf.DUMMYFUNCTION("IMPORTRANGE(""https://docs.google.com/spreadsheets/d/1Yj_ptqi66GCucihVvJfMjLAmec39IyEx_6qawtMGysU/edit?usp=sharing"",""สบก!DN51"")"),0)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IFERROR(__xludf.DUMMYFUNCTION("IMPORTRANGE(""https://docs.google.com/spreadsheets/d/1XL5vhW3sbDhbH9Cz0tuDiY8C3ctxq1tqvaCgkFb8cCA/edit?usp=sharing"",""สกลนคร!J234"")"),715)</f>
        <v>715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IFERROR(__xludf.DUMMYFUNCTION("IMPORTRANGE(""https://docs.google.com/spreadsheets/d/1XL5vhW3sbDhbH9Cz0tuDiY8C3ctxq1tqvaCgkFb8cCA/edit?usp=sharing"",""สกลนคร!J235"")"),5765.39)</f>
        <v>5765.39</v>
      </c>
      <c r="K340" s="343">
        <f t="shared" ca="1" si="103"/>
        <v>68.472565320665083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IFERROR(__xludf.DUMMYFUNCTION("IMPORTRANGE(""https://docs.google.com/spreadsheets/d/1XL5vhW3sbDhbH9Cz0tuDiY8C3ctxq1tqvaCgkFb8cCA/edit?usp=sharing"",""สกลนคร!J236"")"),769)</f>
        <v>769</v>
      </c>
      <c r="K341" s="343">
        <f t="shared" ca="1" si="103"/>
        <v>56.544117647058826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IFERROR(__xludf.DUMMYFUNCTION("IMPORTRANGE(""https://docs.google.com/spreadsheets/d/1XL5vhW3sbDhbH9Cz0tuDiY8C3ctxq1tqvaCgkFb8cCA/edit?usp=sharing"",""สกลนคร!J237"")"),6686.23)</f>
        <v>6686.23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IFERROR(__xludf.DUMMYFUNCTION("IMPORTRANGE(""https://docs.google.com/spreadsheets/d/1XL5vhW3sbDhbH9Cz0tuDiY8C3ctxq1tqvaCgkFb8cCA/edit?usp=sharing"",""สกลนคร!J239"")"),831.61)</f>
        <v>831.61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IFERROR(__xludf.DUMMYFUNCTION("IMPORTRANGE(""https://docs.google.com/spreadsheets/d/1XL5vhW3sbDhbH9Cz0tuDiY8C3ctxq1tqvaCgkFb8cCA/edit?usp=sharing"",""สกลนคร!J240"")"),219)</f>
        <v>219</v>
      </c>
      <c r="K345" s="343">
        <f t="shared" ca="1" si="103"/>
        <v>16.102941176470587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IFERROR(__xludf.DUMMYFUNCTION("IMPORTRANGE(""https://docs.google.com/spreadsheets/d/1XL5vhW3sbDhbH9Cz0tuDiY8C3ctxq1tqvaCgkFb8cCA/edit?usp=sharing"",""สกลนคร!J241"")"),2225.31999999999)</f>
        <v>2225.3199999999902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IFERROR(__xludf.DUMMYFUNCTION("IMPORTRANGE(""https://docs.google.com/spreadsheets/d/1XL5vhW3sbDhbH9Cz0tuDiY8C3ctxq1tqvaCgkFb8cCA/edit?usp=sharing"",""สกลนคร!L242"")"),2279026)</f>
        <v>2279026</v>
      </c>
      <c r="M347" s="358"/>
      <c r="N347" s="358">
        <f ca="1">IFERROR(__xludf.DUMMYFUNCTION("IMPORTRANGE(""https://docs.google.com/spreadsheets/d/1XL5vhW3sbDhbH9Cz0tuDiY8C3ctxq1tqvaCgkFb8cCA/edit?usp=sharing"",""สกลนคร!M242"")"),1277237.27)</f>
        <v>1277237.27</v>
      </c>
      <c r="O347" s="358">
        <f ca="1">+IF(L347&gt;0,N347*100/L347,0)</f>
        <v>56.043119736238197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IFERROR(__xludf.DUMMYFUNCTION("IMPORTRANGE(""https://docs.google.com/spreadsheets/d/1XL5vhW3sbDhbH9Cz0tuDiY8C3ctxq1tqvaCgkFb8cCA/edit?usp=sharing"",""สกลนคร!M244"")"),281686.81)</f>
        <v>281686.81</v>
      </c>
      <c r="O349" s="373">
        <f ca="1">+IF(L349&gt;0,N349*100/L349,0)</f>
        <v>75.283109281877216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IFERROR(__xludf.DUMMYFUNCTION("IMPORTRANGE(""https://docs.google.com/spreadsheets/d/1XL5vhW3sbDhbH9Cz0tuDiY8C3ctxq1tqvaCgkFb8cCA/edit?usp=sharing"",""สกลนคร!M247"")"),281686.81)</f>
        <v>281686.81</v>
      </c>
      <c r="O352" s="165">
        <f t="shared" ca="1" si="105"/>
        <v>75.283109281877216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IFERROR(__xludf.DUMMYFUNCTION("IMPORTRANGE(""https://docs.google.com/spreadsheets/d/1XL5vhW3sbDhbH9Cz0tuDiY8C3ctxq1tqvaCgkFb8cCA/edit?usp=sharing"",""สกลนคร!M249"")"),281686.81)</f>
        <v>281686.81</v>
      </c>
      <c r="O354" s="169">
        <f t="shared" ca="1" si="105"/>
        <v>75.283109281877216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IFERROR(__xludf.DUMMYFUNCTION("IMPORTRANGE(""https://docs.google.com/spreadsheets/d/1XL5vhW3sbDhbH9Cz0tuDiY8C3ctxq1tqvaCgkFb8cCA/edit?usp=sharing"",""สกลนคร!M251"")"),62916.81)</f>
        <v>62916.81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IFERROR(__xludf.DUMMYFUNCTION("IMPORTRANGE(""https://docs.google.com/spreadsheets/d/1XL5vhW3sbDhbH9Cz0tuDiY8C3ctxq1tqvaCgkFb8cCA/edit?usp=sharing"",""สกลนคร!M252"")"),112000)</f>
        <v>112000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IFERROR(__xludf.DUMMYFUNCTION("IMPORTRANGE(""https://docs.google.com/spreadsheets/d/1XL5vhW3sbDhbH9Cz0tuDiY8C3ctxq1tqvaCgkFb8cCA/edit?usp=sharing"",""สกลนคร!M253"")"),32430)</f>
        <v>32430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IFERROR(__xludf.DUMMYFUNCTION("IMPORTRANGE(""https://docs.google.com/spreadsheets/d/1XL5vhW3sbDhbH9Cz0tuDiY8C3ctxq1tqvaCgkFb8cCA/edit?usp=sharing"",""สกลนคร!M275"")"),71703)</f>
        <v>71703</v>
      </c>
      <c r="O380" s="373">
        <f ca="1">+IF(L380&gt;0,N380*100/L380,0)</f>
        <v>15.582866084235233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IFERROR(__xludf.DUMMYFUNCTION("IMPORTRANGE(""https://docs.google.com/spreadsheets/d/1XL5vhW3sbDhbH9Cz0tuDiY8C3ctxq1tqvaCgkFb8cCA/edit?usp=sharing"",""สกลนคร!M278"")"),71703)</f>
        <v>71703</v>
      </c>
      <c r="O383" s="165">
        <f t="shared" ca="1" si="109"/>
        <v>15.582866084235233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IFERROR(__xludf.DUMMYFUNCTION("IMPORTRANGE(""https://docs.google.com/spreadsheets/d/1XL5vhW3sbDhbH9Cz0tuDiY8C3ctxq1tqvaCgkFb8cCA/edit?usp=sharing"",""สกลนคร!M280"")"),71703)</f>
        <v>71703</v>
      </c>
      <c r="O385" s="169">
        <f t="shared" ca="1" si="109"/>
        <v>15.582866084235233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IFERROR(__xludf.DUMMYFUNCTION("IMPORTRANGE(""https://docs.google.com/spreadsheets/d/1XL5vhW3sbDhbH9Cz0tuDiY8C3ctxq1tqvaCgkFb8cCA/edit?usp=sharing"",""สกลนคร!M281"")"),70263)</f>
        <v>70263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IFERROR(__xludf.DUMMYFUNCTION("IMPORTRANGE(""https://docs.google.com/spreadsheets/d/1XL5vhW3sbDhbH9Cz0tuDiY8C3ctxq1tqvaCgkFb8cCA/edit?usp=sharing"",""สกลนคร!M284"")"),1440)</f>
        <v>1440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IFERROR(__xludf.DUMMYFUNCTION("IMPORTRANGE(""https://docs.google.com/spreadsheets/d/1XL5vhW3sbDhbH9Cz0tuDiY8C3ctxq1tqvaCgkFb8cCA/edit?usp=sharing"",""สกลนคร!M296"")"),167773.2)</f>
        <v>167773.2</v>
      </c>
      <c r="O401" s="373">
        <f ca="1">+IF(L401&gt;0,N401*100/L401,0)</f>
        <v>80.389650215620506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IFERROR(__xludf.DUMMYFUNCTION("IMPORTRANGE(""https://docs.google.com/spreadsheets/d/1XL5vhW3sbDhbH9Cz0tuDiY8C3ctxq1tqvaCgkFb8cCA/edit?usp=sharing"",""สกลนคร!M299"")"),167773.2)</f>
        <v>167773.2</v>
      </c>
      <c r="O404" s="169">
        <f t="shared" ca="1" si="112"/>
        <v>80.389650215620506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IFERROR(__xludf.DUMMYFUNCTION("IMPORTRANGE(""https://docs.google.com/spreadsheets/d/1XL5vhW3sbDhbH9Cz0tuDiY8C3ctxq1tqvaCgkFb8cCA/edit?usp=sharing"",""สกลนคร!M301"")"),167773.2)</f>
        <v>167773.2</v>
      </c>
      <c r="O406" s="169">
        <f t="shared" ca="1" si="112"/>
        <v>80.389650215620506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IFERROR(__xludf.DUMMYFUNCTION("IMPORTRANGE(""https://docs.google.com/spreadsheets/d/1XL5vhW3sbDhbH9Cz0tuDiY8C3ctxq1tqvaCgkFb8cCA/edit?usp=sharing"",""สกลนคร!M303"")"),16500)</f>
        <v>16500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IFERROR(__xludf.DUMMYFUNCTION("IMPORTRANGE(""https://docs.google.com/spreadsheets/d/1XL5vhW3sbDhbH9Cz0tuDiY8C3ctxq1tqvaCgkFb8cCA/edit?usp=sharing"",""สกลนคร!M305"")"),26613.2)</f>
        <v>26613.200000000001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IFERROR(__xludf.DUMMYFUNCTION("IMPORTRANGE(""https://docs.google.com/spreadsheets/d/1XL5vhW3sbDhbH9Cz0tuDiY8C3ctxq1tqvaCgkFb8cCA/edit?usp=sharing"",""สกลนคร!J325"")"),20)</f>
        <v>20</v>
      </c>
      <c r="K430" s="202">
        <f t="shared" ca="1" si="113"/>
        <v>40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IFERROR(__xludf.DUMMYFUNCTION("IMPORTRANGE(""https://docs.google.com/spreadsheets/d/1XL5vhW3sbDhbH9Cz0tuDiY8C3ctxq1tqvaCgkFb8cCA/edit?usp=sharing"",""สกลนคร!M330"")"),115780.44)</f>
        <v>115780.44</v>
      </c>
      <c r="O435" s="412">
        <f t="shared" ref="O435:O439" ca="1" si="114">+IF(L435&gt;0,N435*100/L435,0)</f>
        <v>95.686314049586784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IFERROR(__xludf.DUMMYFUNCTION("IMPORTRANGE(""https://docs.google.com/spreadsheets/d/1XL5vhW3sbDhbH9Cz0tuDiY8C3ctxq1tqvaCgkFb8cCA/edit?usp=sharing"",""สกลนคร!M332"")"),115780.44)</f>
        <v>115780.44</v>
      </c>
      <c r="O437" s="169">
        <f t="shared" ca="1" si="114"/>
        <v>95.686314049586784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IFERROR(__xludf.DUMMYFUNCTION("IMPORTRANGE(""https://docs.google.com/spreadsheets/d/1XL5vhW3sbDhbH9Cz0tuDiY8C3ctxq1tqvaCgkFb8cCA/edit?usp=sharing"",""สกลนคร!M334"")"),115780.44)</f>
        <v>115780.44</v>
      </c>
      <c r="O439" s="169">
        <f t="shared" ca="1" si="114"/>
        <v>95.686314049586784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IFERROR(__xludf.DUMMYFUNCTION("IMPORTRANGE(""https://docs.google.com/spreadsheets/d/1XL5vhW3sbDhbH9Cz0tuDiY8C3ctxq1tqvaCgkFb8cCA/edit?usp=sharing"",""สกลนคร!M338"")"),45580.44)</f>
        <v>45580.44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IFERROR(__xludf.DUMMYFUNCTION("IMPORTRANGE(""https://docs.google.com/spreadsheets/d/1XL5vhW3sbDhbH9Cz0tuDiY8C3ctxq1tqvaCgkFb8cCA/edit?usp=sharing"",""สกลนคร!L350"")"),558768)</f>
        <v>558768</v>
      </c>
      <c r="M455" s="373"/>
      <c r="N455" s="373">
        <f ca="1">IFERROR(__xludf.DUMMYFUNCTION("IMPORTRANGE(""https://docs.google.com/spreadsheets/d/1XL5vhW3sbDhbH9Cz0tuDiY8C3ctxq1tqvaCgkFb8cCA/edit?usp=sharing"",""สกลนคร!M350"")"),255368.13)</f>
        <v>255368.13</v>
      </c>
      <c r="O455" s="373">
        <f t="shared" ref="O455:O459" ca="1" si="116">+IF(L455&gt;0,N455*100/L455,0)</f>
        <v>45.701996177304352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IFERROR(__xludf.DUMMYFUNCTION("IMPORTRANGE(""https://docs.google.com/spreadsheets/d/1XL5vhW3sbDhbH9Cz0tuDiY8C3ctxq1tqvaCgkFb8cCA/edit?usp=sharing"",""สกลนคร!L352"")"),558768)</f>
        <v>558768</v>
      </c>
      <c r="M457" s="165"/>
      <c r="N457" s="169">
        <f ca="1">IFERROR(__xludf.DUMMYFUNCTION("IMPORTRANGE(""https://docs.google.com/spreadsheets/d/1XL5vhW3sbDhbH9Cz0tuDiY8C3ctxq1tqvaCgkFb8cCA/edit?usp=sharing"",""สกลนคร!M352"")"),255368.13)</f>
        <v>255368.13</v>
      </c>
      <c r="O457" s="169">
        <f t="shared" ca="1" si="116"/>
        <v>45.701996177304352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IFERROR(__xludf.DUMMYFUNCTION("IMPORTRANGE(""https://docs.google.com/spreadsheets/d/1XL5vhW3sbDhbH9Cz0tuDiY8C3ctxq1tqvaCgkFb8cCA/edit?usp=sharing"",""สกลนคร!L354"")"),558768)</f>
        <v>558768</v>
      </c>
      <c r="M459" s="169"/>
      <c r="N459" s="169">
        <f ca="1">IFERROR(__xludf.DUMMYFUNCTION("IMPORTRANGE(""https://docs.google.com/spreadsheets/d/1XL5vhW3sbDhbH9Cz0tuDiY8C3ctxq1tqvaCgkFb8cCA/edit?usp=sharing"",""สกลนคร!M354"")"),255368.13)</f>
        <v>255368.13</v>
      </c>
      <c r="O459" s="169">
        <f t="shared" ca="1" si="116"/>
        <v>45.701996177304352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IFERROR(__xludf.DUMMYFUNCTION("IMPORTRANGE(""https://docs.google.com/spreadsheets/d/1XL5vhW3sbDhbH9Cz0tuDiY8C3ctxq1tqvaCgkFb8cCA/edit?usp=sharing"",""สกลนคร!M357"")"),87609.83)</f>
        <v>87609.83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IFERROR(__xludf.DUMMYFUNCTION("IMPORTRANGE(""https://docs.google.com/spreadsheets/d/1XL5vhW3sbDhbH9Cz0tuDiY8C3ctxq1tqvaCgkFb8cCA/edit?usp=sharing"",""สกลนคร!M358"")"),167758.3)</f>
        <v>167758.29999999999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IFERROR(__xludf.DUMMYFUNCTION("IMPORTRANGE(""https://docs.google.com/spreadsheets/d/1XL5vhW3sbDhbH9Cz0tuDiY8C3ctxq1tqvaCgkFb8cCA/edit?usp=sharing"",""สกลนคร!I420"")"),0)</f>
        <v>0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IFERROR(__xludf.DUMMYFUNCTION("IMPORTRANGE(""https://docs.google.com/spreadsheets/d/1XL5vhW3sbDhbH9Cz0tuDiY8C3ctxq1tqvaCgkFb8cCA/edit?usp=sharing"",""สกลนคร!I421"")"),0)</f>
        <v>0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IFERROR(__xludf.DUMMYFUNCTION("IMPORTRANGE(""https://docs.google.com/spreadsheets/d/1XL5vhW3sbDhbH9Cz0tuDiY8C3ctxq1tqvaCgkFb8cCA/edit?usp=sharing"",""สกลนคร!J459"")"),5905)</f>
        <v>5905</v>
      </c>
      <c r="K564" s="372">
        <f ca="1">IF(I564&gt;0,J564*100/I564,0)</f>
        <v>140.5952380952381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IFERROR(__xludf.DUMMYFUNCTION("IMPORTRANGE(""https://docs.google.com/spreadsheets/d/1XL5vhW3sbDhbH9Cz0tuDiY8C3ctxq1tqvaCgkFb8cCA/edit?usp=sharing"",""สกลนคร!M459"")"),148903.43)</f>
        <v>148903.43</v>
      </c>
      <c r="O564" s="373">
        <f t="shared" ref="O564:O568" ca="1" si="122">+IF(L564&gt;0,N564*100/L564,0)</f>
        <v>89.057075358851677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IFERROR(__xludf.DUMMYFUNCTION("IMPORTRANGE(""https://docs.google.com/spreadsheets/d/1XL5vhW3sbDhbH9Cz0tuDiY8C3ctxq1tqvaCgkFb8cCA/edit?usp=sharing"",""สกลนคร!M461"")"),148903.43)</f>
        <v>148903.43</v>
      </c>
      <c r="O566" s="169">
        <f t="shared" ca="1" si="122"/>
        <v>89.057075358851677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IFERROR(__xludf.DUMMYFUNCTION("IMPORTRANGE(""https://docs.google.com/spreadsheets/d/1XL5vhW3sbDhbH9Cz0tuDiY8C3ctxq1tqvaCgkFb8cCA/edit?usp=sharing"",""สกลนคร!M463"")"),148903.43)</f>
        <v>148903.43</v>
      </c>
      <c r="O568" s="169">
        <f t="shared" ca="1" si="122"/>
        <v>89.057075358851677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IFERROR(__xludf.DUMMYFUNCTION("IMPORTRANGE(""https://docs.google.com/spreadsheets/d/1XL5vhW3sbDhbH9Cz0tuDiY8C3ctxq1tqvaCgkFb8cCA/edit?usp=sharing"",""สกลนคร!M466"")"),87257.26)</f>
        <v>87257.26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IFERROR(__xludf.DUMMYFUNCTION("IMPORTRANGE(""https://docs.google.com/spreadsheets/d/1XL5vhW3sbDhbH9Cz0tuDiY8C3ctxq1tqvaCgkFb8cCA/edit?usp=sharing"",""สกลนคร!M467"")"),61646.17)</f>
        <v>61646.17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IFERROR(__xludf.DUMMYFUNCTION("IMPORTRANGE(""https://docs.google.com/spreadsheets/d/1XL5vhW3sbDhbH9Cz0tuDiY8C3ctxq1tqvaCgkFb8cCA/edit?usp=sharing"",""สกลนคร!J468"")"),5905)</f>
        <v>5905</v>
      </c>
      <c r="K573" s="202">
        <f ca="1">IF(I573&gt;0,J573*100/I573,0)</f>
        <v>140.5952380952381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IFERROR(__xludf.DUMMYFUNCTION("IMPORTRANGE(""https://docs.google.com/spreadsheets/d/1XL5vhW3sbDhbH9Cz0tuDiY8C3ctxq1tqvaCgkFb8cCA/edit?usp=sharing"",""สกลนคร!J472"")"),4465)</f>
        <v>4465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IFERROR(__xludf.DUMMYFUNCTION("IMPORTRANGE(""https://docs.google.com/spreadsheets/d/1XL5vhW3sbDhbH9Cz0tuDiY8C3ctxq1tqvaCgkFb8cCA/edit?usp=sharing"",""สกลนคร!J475"")"),22)</f>
        <v>22</v>
      </c>
      <c r="K580" s="372">
        <f ca="1">IF(I580&gt;0,J580*100/I580,0)</f>
        <v>10.185185185185185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IFERROR(__xludf.DUMMYFUNCTION("IMPORTRANGE(""https://docs.google.com/spreadsheets/d/1XL5vhW3sbDhbH9Cz0tuDiY8C3ctxq1tqvaCgkFb8cCA/edit?usp=sharing"",""สกลนคร!M475"")"),202027.26)</f>
        <v>202027.26</v>
      </c>
      <c r="O580" s="373">
        <f t="shared" ref="O580:O584" ca="1" si="124">+IF(L580&gt;0,N580*100/L580,0)</f>
        <v>61.14478462991211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IFERROR(__xludf.DUMMYFUNCTION("IMPORTRANGE(""https://docs.google.com/spreadsheets/d/1XL5vhW3sbDhbH9Cz0tuDiY8C3ctxq1tqvaCgkFb8cCA/edit?usp=sharing"",""สกลนคร!M477"")"),202027.26)</f>
        <v>202027.26</v>
      </c>
      <c r="O582" s="169">
        <f t="shared" ca="1" si="124"/>
        <v>61.14478462991211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IFERROR(__xludf.DUMMYFUNCTION("IMPORTRANGE(""https://docs.google.com/spreadsheets/d/1XL5vhW3sbDhbH9Cz0tuDiY8C3ctxq1tqvaCgkFb8cCA/edit?usp=sharing"",""สกลนคร!M479"")"),202027.26)</f>
        <v>202027.26</v>
      </c>
      <c r="O584" s="169">
        <f t="shared" ca="1" si="124"/>
        <v>61.14478462991211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IFERROR(__xludf.DUMMYFUNCTION("IMPORTRANGE(""https://docs.google.com/spreadsheets/d/1XL5vhW3sbDhbH9Cz0tuDiY8C3ctxq1tqvaCgkFb8cCA/edit?usp=sharing"",""สกลนคร!M482"")"),88000)</f>
        <v>88000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IFERROR(__xludf.DUMMYFUNCTION("IMPORTRANGE(""https://docs.google.com/spreadsheets/d/1XL5vhW3sbDhbH9Cz0tuDiY8C3ctxq1tqvaCgkFb8cCA/edit?usp=sharing"",""สกลนคร!M483"")"),114027.26)</f>
        <v>114027.26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IFERROR(__xludf.DUMMYFUNCTION("IMPORTRANGE(""https://docs.google.com/spreadsheets/d/1XL5vhW3sbDhbH9Cz0tuDiY8C3ctxq1tqvaCgkFb8cCA/edit?usp=sharing"",""สกลนคร!I484"")"),216)</f>
        <v>216</v>
      </c>
      <c r="J589" s="188">
        <f ca="1">IFERROR(__xludf.DUMMYFUNCTION("IMPORTRANGE(""https://docs.google.com/spreadsheets/d/1XL5vhW3sbDhbH9Cz0tuDiY8C3ctxq1tqvaCgkFb8cCA/edit?usp=sharing"",""สกลนคร!J484"")"),184)</f>
        <v>184</v>
      </c>
      <c r="K589" s="163">
        <f t="shared" ref="K589:K596" ca="1" si="125">IF(I589&gt;0,J589*100/I589,0)</f>
        <v>85.18518518518519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IFERROR(__xludf.DUMMYFUNCTION("IMPORTRANGE(""https://docs.google.com/spreadsheets/d/1XL5vhW3sbDhbH9Cz0tuDiY8C3ctxq1tqvaCgkFb8cCA/edit?usp=sharing"",""สกลนคร!J485"")"),90.75)</f>
        <v>90.75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IFERROR(__xludf.DUMMYFUNCTION("IMPORTRANGE(""https://docs.google.com/spreadsheets/d/1XL5vhW3sbDhbH9Cz0tuDiY8C3ctxq1tqvaCgkFb8cCA/edit?usp=sharing"",""สกลนคร!I486"")"),216)</f>
        <v>216</v>
      </c>
      <c r="J591" s="188">
        <f ca="1">IFERROR(__xludf.DUMMYFUNCTION("IMPORTRANGE(""https://docs.google.com/spreadsheets/d/1XL5vhW3sbDhbH9Cz0tuDiY8C3ctxq1tqvaCgkFb8cCA/edit?usp=sharing"",""สกลนคร!J486"")"),97)</f>
        <v>97</v>
      </c>
      <c r="K591" s="163">
        <f t="shared" ca="1" si="125"/>
        <v>44.907407407407405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IFERROR(__xludf.DUMMYFUNCTION("IMPORTRANGE(""https://docs.google.com/spreadsheets/d/1XL5vhW3sbDhbH9Cz0tuDiY8C3ctxq1tqvaCgkFb8cCA/edit?usp=sharing"",""สกลนคร!J487"")"),39.06)</f>
        <v>39.06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IFERROR(__xludf.DUMMYFUNCTION("IMPORTRANGE(""https://docs.google.com/spreadsheets/d/1XL5vhW3sbDhbH9Cz0tuDiY8C3ctxq1tqvaCgkFb8cCA/edit?usp=sharing"",""สกลนคร!I488"")"),216)</f>
        <v>216</v>
      </c>
      <c r="J593" s="188">
        <f ca="1">IFERROR(__xludf.DUMMYFUNCTION("IMPORTRANGE(""https://docs.google.com/spreadsheets/d/1XL5vhW3sbDhbH9Cz0tuDiY8C3ctxq1tqvaCgkFb8cCA/edit?usp=sharing"",""สกลนคร!J488"")"),19)</f>
        <v>19</v>
      </c>
      <c r="K593" s="163">
        <f t="shared" ca="1" si="125"/>
        <v>8.7962962962962958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IFERROR(__xludf.DUMMYFUNCTION("IMPORTRANGE(""https://docs.google.com/spreadsheets/d/1XL5vhW3sbDhbH9Cz0tuDiY8C3ctxq1tqvaCgkFb8cCA/edit?usp=sharing"",""สกลนคร!J489"")"),8.02)</f>
        <v>8.02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IFERROR(__xludf.DUMMYFUNCTION("IMPORTRANGE(""https://docs.google.com/spreadsheets/d/1XL5vhW3sbDhbH9Cz0tuDiY8C3ctxq1tqvaCgkFb8cCA/edit?usp=sharing"",""สกลนคร!I490"")"),216)</f>
        <v>216</v>
      </c>
      <c r="J595" s="188">
        <f ca="1">IFERROR(__xludf.DUMMYFUNCTION("IMPORTRANGE(""https://docs.google.com/spreadsheets/d/1XL5vhW3sbDhbH9Cz0tuDiY8C3ctxq1tqvaCgkFb8cCA/edit?usp=sharing"",""สกลนคร!J490"")"),22)</f>
        <v>22</v>
      </c>
      <c r="K595" s="163">
        <f t="shared" ca="1" si="125"/>
        <v>10.185185185185185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IFERROR(__xludf.DUMMYFUNCTION("IMPORTRANGE(""https://docs.google.com/spreadsheets/d/1XL5vhW3sbDhbH9Cz0tuDiY8C3ctxq1tqvaCgkFb8cCA/edit?usp=sharing"",""สกลนคร!J491"")"),11.78)</f>
        <v>11.78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IFERROR(__xludf.DUMMYFUNCTION("IMPORTRANGE(""https://docs.google.com/spreadsheets/d/1XL5vhW3sbDhbH9Cz0tuDiY8C3ctxq1tqvaCgkFb8cCA/edit?usp=sharing"",""สกลนคร!L494"")"),20900)</f>
        <v>20900</v>
      </c>
      <c r="M599" s="165"/>
      <c r="N599" s="169">
        <f ca="1">IFERROR(__xludf.DUMMYFUNCTION("IMPORTRANGE(""https://docs.google.com/spreadsheets/d/1XL5vhW3sbDhbH9Cz0tuDiY8C3ctxq1tqvaCgkFb8cCA/edit?usp=sharing"",""สกลนคร!M494"")"),0)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IFERROR(__xludf.DUMMYFUNCTION("IMPORTRANGE(""https://docs.google.com/spreadsheets/d/1XL5vhW3sbDhbH9Cz0tuDiY8C3ctxq1tqvaCgkFb8cCA/edit?usp=sharing"",""สกลนคร!L496"")"),20900)</f>
        <v>20900</v>
      </c>
      <c r="M601" s="169"/>
      <c r="N601" s="169">
        <f ca="1">IFERROR(__xludf.DUMMYFUNCTION("IMPORTRANGE(""https://docs.google.com/spreadsheets/d/1XL5vhW3sbDhbH9Cz0tuDiY8C3ctxq1tqvaCgkFb8cCA/edit?usp=sharing"",""สกลนคร!M496"")"),0)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IFERROR(__xludf.DUMMYFUNCTION("IMPORTRANGE(""https://docs.google.com/spreadsheets/d/1XL5vhW3sbDhbH9Cz0tuDiY8C3ctxq1tqvaCgkFb8cCA/edit?usp=sharing"",""สกลนคร!J166"")"),0)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IFERROR(__xludf.DUMMYFUNCTION("IMPORTRANGE(""https://docs.google.com/spreadsheets/d/1XL5vhW3sbDhbH9Cz0tuDiY8C3ctxq1tqvaCgkFb8cCA/edit?usp=sharing"",""สกลนคร!J166"")"),0)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IFERROR(__xludf.DUMMYFUNCTION("IMPORTRANGE(""https://docs.google.com/spreadsheets/d/1XL5vhW3sbDhbH9Cz0tuDiY8C3ctxq1tqvaCgkFb8cCA/edit?usp=sharing"",""สกลนคร!J523"")"),4196387.43)</f>
        <v>4196387.43</v>
      </c>
      <c r="K628" s="343">
        <f t="shared" ref="K628:K635" ca="1" si="129">IF(I628&gt;0,J628*100/I628,0)</f>
        <v>46.53804437136354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IFERROR(__xludf.DUMMYFUNCTION("IMPORTRANGE(""https://docs.google.com/spreadsheets/d/1XL5vhW3sbDhbH9Cz0tuDiY8C3ctxq1tqvaCgkFb8cCA/edit?usp=sharing"",""สกลนคร!J524"")"),326)</f>
        <v>326</v>
      </c>
      <c r="K629" s="343">
        <f t="shared" ca="1" si="129"/>
        <v>43.064729194187585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IFERROR(__xludf.DUMMYFUNCTION("IMPORTRANGE(""https://docs.google.com/spreadsheets/d/1XL5vhW3sbDhbH9Cz0tuDiY8C3ctxq1tqvaCgkFb8cCA/edit?usp=sharing"",""สกลนคร!J525"")"),956182.07)</f>
        <v>956182.07</v>
      </c>
      <c r="K630" s="343">
        <f t="shared" ca="1" si="129"/>
        <v>29.010324823187219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IFERROR(__xludf.DUMMYFUNCTION("IMPORTRANGE(""https://docs.google.com/spreadsheets/d/1XL5vhW3sbDhbH9Cz0tuDiY8C3ctxq1tqvaCgkFb8cCA/edit?usp=sharing"",""สกลนคร!J526"")"),107)</f>
        <v>107</v>
      </c>
      <c r="K631" s="343">
        <f t="shared" ca="1" si="129"/>
        <v>66.875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IFERROR(__xludf.DUMMYFUNCTION("IMPORTRANGE(""https://docs.google.com/spreadsheets/d/1XL5vhW3sbDhbH9Cz0tuDiY8C3ctxq1tqvaCgkFb8cCA/edit?usp=sharing"",""สกลนคร!J529"")"),2580000)</f>
        <v>2580000</v>
      </c>
      <c r="K634" s="343">
        <f t="shared" ca="1" si="129"/>
        <v>25.8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IFERROR(__xludf.DUMMYFUNCTION("IMPORTRANGE(""https://docs.google.com/spreadsheets/d/1XL5vhW3sbDhbH9Cz0tuDiY8C3ctxq1tqvaCgkFb8cCA/edit?usp=sharing"",""สกลนคร!J530"")"),58)</f>
        <v>58</v>
      </c>
      <c r="K635" s="486">
        <f t="shared" ca="1" si="129"/>
        <v>29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IFERROR(__xludf.DUMMYFUNCTION("IMPORTRANGE(""https://docs.google.com/spreadsheets/d/1XL5vhW3sbDhbH9Cz0tuDiY8C3ctxq1tqvaCgkFb8cCA/edit#gid=346597447"",""สกลนคร!J541"")"),0)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IFERROR(__xludf.DUMMYFUNCTION("IMPORTRANGE(""https://docs.google.com/spreadsheets/d/1XL5vhW3sbDhbH9Cz0tuDiY8C3ctxq1tqvaCgkFb8cCA/edit#gid=346597447"",""สกลนคร!J542"")"),0)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IFERROR(__xludf.DUMMYFUNCTION("IMPORTRANGE(""https://docs.google.com/spreadsheets/d/1XL5vhW3sbDhbH9Cz0tuDiY8C3ctxq1tqvaCgkFb8cCA/edit#gid=346597447"",""สกลนคร!I543"")"),0)</f>
        <v>0</v>
      </c>
      <c r="J648" s="585">
        <f ca="1">IFERROR(__xludf.DUMMYFUNCTION("IMPORTRANGE(""https://docs.google.com/spreadsheets/d/1XL5vhW3sbDhbH9Cz0tuDiY8C3ctxq1tqvaCgkFb8cCA/edit#gid=346597447"",""สกลนคร!J543"")"),0)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IFERROR(__xludf.DUMMYFUNCTION("IMPORTRANGE(""https://docs.google.com/spreadsheets/d/1XL5vhW3sbDhbH9Cz0tuDiY8C3ctxq1tqvaCgkFb8cCA/edit#gid=346597447"",""สกลนคร!L543"")"),0)</f>
        <v>0</v>
      </c>
      <c r="M648" s="570"/>
      <c r="N648" s="587">
        <f ca="1">IFERROR(__xludf.DUMMYFUNCTION("IMPORTRANGE(""https://docs.google.com/spreadsheets/d/1XL5vhW3sbDhbH9Cz0tuDiY8C3ctxq1tqvaCgkFb8cCA/edit#gid=346597447"",""สกลนคร!M543"")"),0)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IFERROR(__xludf.DUMMYFUNCTION("IMPORTRANGE(""https://docs.google.com/spreadsheets/d/1XL5vhW3sbDhbH9Cz0tuDiY8C3ctxq1tqvaCgkFb8cCA/edit#gid=346597447"",""สกลนคร!I544"")"),0)</f>
        <v>0</v>
      </c>
      <c r="J649" s="585">
        <f ca="1">IFERROR(__xludf.DUMMYFUNCTION("IMPORTRANGE(""https://docs.google.com/spreadsheets/d/1XL5vhW3sbDhbH9Cz0tuDiY8C3ctxq1tqvaCgkFb8cCA/edit#gid=346597447"",""สกลนคร!J544"")"),0)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IFERROR(__xludf.DUMMYFUNCTION("IMPORTRANGE(""https://docs.google.com/spreadsheets/d/1XL5vhW3sbDhbH9Cz0tuDiY8C3ctxq1tqvaCgkFb8cCA/edit#gid=346597447"",""สกลนคร!L544"")"),0)</f>
        <v>0</v>
      </c>
      <c r="M649" s="570"/>
      <c r="N649" s="587">
        <f ca="1">IFERROR(__xludf.DUMMYFUNCTION("IMPORTRANGE(""https://docs.google.com/spreadsheets/d/1XL5vhW3sbDhbH9Cz0tuDiY8C3ctxq1tqvaCgkFb8cCA/edit#gid=346597447"",""สกลนคร!M544"")"),0)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IFERROR(__xludf.DUMMYFUNCTION("IMPORTRANGE(""https://docs.google.com/spreadsheets/d/1XL5vhW3sbDhbH9Cz0tuDiY8C3ctxq1tqvaCgkFb8cCA/edit#gid=346597447"",""สกลนคร!I545"")"),0)</f>
        <v>0</v>
      </c>
      <c r="J650" s="585">
        <f ca="1">IFERROR(__xludf.DUMMYFUNCTION("IMPORTRANGE(""https://docs.google.com/spreadsheets/d/1XL5vhW3sbDhbH9Cz0tuDiY8C3ctxq1tqvaCgkFb8cCA/edit#gid=346597447"",""สกลนคร!J545"")"),0)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IFERROR(__xludf.DUMMYFUNCTION("IMPORTRANGE(""https://docs.google.com/spreadsheets/d/1XL5vhW3sbDhbH9Cz0tuDiY8C3ctxq1tqvaCgkFb8cCA/edit#gid=346597447"",""สกลนคร!L545"")"),0)</f>
        <v>0</v>
      </c>
      <c r="M650" s="570"/>
      <c r="N650" s="587">
        <f ca="1">IFERROR(__xludf.DUMMYFUNCTION("IMPORTRANGE(""https://docs.google.com/spreadsheets/d/1XL5vhW3sbDhbH9Cz0tuDiY8C3ctxq1tqvaCgkFb8cCA/edit#gid=346597447"",""สกลนคร!M545"")"),0)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IFERROR(__xludf.DUMMYFUNCTION("IMPORTRANGE(""https://docs.google.com/spreadsheets/d/1XL5vhW3sbDhbH9Cz0tuDiY8C3ctxq1tqvaCgkFb8cCA/edit#gid=346597447"",""สกลนคร!I546"")"),0)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IFERROR(__xludf.DUMMYFUNCTION("IMPORTRANGE(""https://docs.google.com/spreadsheets/d/1XL5vhW3sbDhbH9Cz0tuDiY8C3ctxq1tqvaCgkFb8cCA/edit#gid=346597447"",""สกลนคร!L546"")"),0)</f>
        <v>0</v>
      </c>
      <c r="M651" s="570"/>
      <c r="N651" s="587">
        <f ca="1">IFERROR(__xludf.DUMMYFUNCTION("IMPORTRANGE(""https://docs.google.com/spreadsheets/d/1XL5vhW3sbDhbH9Cz0tuDiY8C3ctxq1tqvaCgkFb8cCA/edit#gid=346597447"",""สกลนคร!M546"")"),0)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IFERROR(__xludf.DUMMYFUNCTION("IMPORTRANGE(""https://docs.google.com/spreadsheets/d/1XL5vhW3sbDhbH9Cz0tuDiY8C3ctxq1tqvaCgkFb8cCA/edit#gid=346597447"",""สกลนคร!J547"")"),0)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IFERROR(__xludf.DUMMYFUNCTION("IMPORTRANGE(""https://docs.google.com/spreadsheets/d/1XL5vhW3sbDhbH9Cz0tuDiY8C3ctxq1tqvaCgkFb8cCA/edit#gid=346597447"",""สกลนคร!J548"")"),0)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IFERROR(__xludf.DUMMYFUNCTION("IMPORTRANGE(""https://docs.google.com/spreadsheets/d/1XL5vhW3sbDhbH9Cz0tuDiY8C3ctxq1tqvaCgkFb8cCA/edit#gid=346597447"",""สกลนคร!J550"")"),0)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IFERROR(__xludf.DUMMYFUNCTION("IMPORTRANGE(""https://docs.google.com/spreadsheets/d/1XL5vhW3sbDhbH9Cz0tuDiY8C3ctxq1tqvaCgkFb8cCA/edit#gid=346597447"",""สกลนคร!J551"")"),0)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IFERROR(__xludf.DUMMYFUNCTION("IMPORTRANGE(""https://docs.google.com/spreadsheets/d/1XL5vhW3sbDhbH9Cz0tuDiY8C3ctxq1tqvaCgkFb8cCA/edit#gid=346597447"",""สกลนคร!J552"")"),0)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IFERROR(__xludf.DUMMYFUNCTION("IMPORTRANGE(""https://docs.google.com/spreadsheets/d/1XL5vhW3sbDhbH9Cz0tuDiY8C3ctxq1tqvaCgkFb8cCA/edit#gid=346597447"",""สกลนคร!J553"")"),0)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IFERROR(__xludf.DUMMYFUNCTION("IMPORTRANGE(""https://docs.google.com/spreadsheets/d/1XL5vhW3sbDhbH9Cz0tuDiY8C3ctxq1tqvaCgkFb8cCA/edit#gid=346597447"",""สกลนคร!J554"")"),0)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IFERROR(__xludf.DUMMYFUNCTION("IMPORTRANGE(""https://docs.google.com/spreadsheets/d/1XL5vhW3sbDhbH9Cz0tuDiY8C3ctxq1tqvaCgkFb8cCA/edit#gid=346597447"",""สกลนคร!J555"")"),0)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IFERROR(__xludf.DUMMYFUNCTION("IMPORTRANGE(""https://docs.google.com/spreadsheets/d/1XL5vhW3sbDhbH9Cz0tuDiY8C3ctxq1tqvaCgkFb8cCA/edit#gid=346597447"",""สกลนคร!J556"")"),0)</f>
        <v>0</v>
      </c>
      <c r="K661" s="586"/>
      <c r="L661" s="571">
        <f ca="1">IFERROR(__xludf.DUMMYFUNCTION("IMPORTRANGE(""https://docs.google.com/spreadsheets/d/1XL5vhW3sbDhbH9Cz0tuDiY8C3ctxq1tqvaCgkFb8cCA/edit#gid=346597447"",""สกลนคร!L556"")"),0)</f>
        <v>0</v>
      </c>
      <c r="M661" s="570"/>
      <c r="N661" s="587">
        <f ca="1">IFERROR(__xludf.DUMMYFUNCTION("IMPORTRANGE(""https://docs.google.com/spreadsheets/d/1XL5vhW3sbDhbH9Cz0tuDiY8C3ctxq1tqvaCgkFb8cCA/edit#gid=346597447"",""สกลนคร!M556"")"),0)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IFERROR(__xludf.DUMMYFUNCTION("IMPORTRANGE(""https://docs.google.com/spreadsheets/d/1XL5vhW3sbDhbH9Cz0tuDiY8C3ctxq1tqvaCgkFb8cCA/edit#gid=346597447"",""สกลนคร!J557"")"),0)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IFERROR(__xludf.DUMMYFUNCTION("IMPORTRANGE(""https://docs.google.com/spreadsheets/d/1XL5vhW3sbDhbH9Cz0tuDiY8C3ctxq1tqvaCgkFb8cCA/edit#gid=346597447"",""สกลนคร!I558"")"),0)</f>
        <v>0</v>
      </c>
      <c r="J663" s="585">
        <f ca="1">IFERROR(__xludf.DUMMYFUNCTION("IMPORTRANGE(""https://docs.google.com/spreadsheets/d/1XL5vhW3sbDhbH9Cz0tuDiY8C3ctxq1tqvaCgkFb8cCA/edit#gid=346597447"",""สกลนคร!J558"")"),0)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IFERROR(__xludf.DUMMYFUNCTION("IMPORTRANGE(""https://docs.google.com/spreadsheets/d/1XL5vhW3sbDhbH9Cz0tuDiY8C3ctxq1tqvaCgkFb8cCA/edit#gid=346597447"",""สกลนคร!I560"")"),0)</f>
        <v>0</v>
      </c>
      <c r="J665" s="585">
        <f ca="1">IFERROR(__xludf.DUMMYFUNCTION("IMPORTRANGE(""https://docs.google.com/spreadsheets/d/1XL5vhW3sbDhbH9Cz0tuDiY8C3ctxq1tqvaCgkFb8cCA/edit#gid=346597447"",""สกลนคร!J560"")"),0)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IFERROR(__xludf.DUMMYFUNCTION("IMPORTRANGE(""https://docs.google.com/spreadsheets/d/1XL5vhW3sbDhbH9Cz0tuDiY8C3ctxq1tqvaCgkFb8cCA/edit#gid=346597447"",""สกลนคร!L560"")"),0)</f>
        <v>0</v>
      </c>
      <c r="M665" s="570"/>
      <c r="N665" s="587">
        <f ca="1">IFERROR(__xludf.DUMMYFUNCTION("IMPORTRANGE(""https://docs.google.com/spreadsheets/d/1XL5vhW3sbDhbH9Cz0tuDiY8C3ctxq1tqvaCgkFb8cCA/edit#gid=346597447"",""สกลนคร!M560"")"),0)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IFERROR(__xludf.DUMMYFUNCTION("IMPORTRANGE(""https://docs.google.com/spreadsheets/d/1XL5vhW3sbDhbH9Cz0tuDiY8C3ctxq1tqvaCgkFb8cCA/edit#gid=346597447"",""สกลนคร!J561"")"),0)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IFERROR(__xludf.DUMMYFUNCTION("IMPORTRANGE(""https://docs.google.com/spreadsheets/d/1XL5vhW3sbDhbH9Cz0tuDiY8C3ctxq1tqvaCgkFb8cCA/edit#gid=346597447"",""สกลนคร!J562"")"),0)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IFERROR(__xludf.DUMMYFUNCTION("IMPORTRANGE(""https://docs.google.com/spreadsheets/d/1XL5vhW3sbDhbH9Cz0tuDiY8C3ctxq1tqvaCgkFb8cCA/edit#gid=346597447"",""สกลนคร!I563"")"),0)</f>
        <v>0</v>
      </c>
      <c r="J668" s="585">
        <f ca="1">IFERROR(__xludf.DUMMYFUNCTION("IMPORTRANGE(""https://docs.google.com/spreadsheets/d/1XL5vhW3sbDhbH9Cz0tuDiY8C3ctxq1tqvaCgkFb8cCA/edit#gid=346597447"",""สกลนคร!J563"")"),0)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IFERROR(__xludf.DUMMYFUNCTION("IMPORTRANGE(""https://docs.google.com/spreadsheets/d/1XL5vhW3sbDhbH9Cz0tuDiY8C3ctxq1tqvaCgkFb8cCA/edit#gid=346597447"",""สกลนคร!L563"")"),0)</f>
        <v>0</v>
      </c>
      <c r="M668" s="570"/>
      <c r="N668" s="587">
        <f ca="1">IFERROR(__xludf.DUMMYFUNCTION("IMPORTRANGE(""https://docs.google.com/spreadsheets/d/1XL5vhW3sbDhbH9Cz0tuDiY8C3ctxq1tqvaCgkFb8cCA/edit#gid=346597447"",""สกลนคร!M563"")"),0)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IFERROR(__xludf.DUMMYFUNCTION("IMPORTRANGE(""https://docs.google.com/spreadsheets/d/1XL5vhW3sbDhbH9Cz0tuDiY8C3ctxq1tqvaCgkFb8cCA/edit#gid=346597447"",""สกลนคร!J564"")"),0)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IFERROR(__xludf.DUMMYFUNCTION("IMPORTRANGE(""https://docs.google.com/spreadsheets/d/1XL5vhW3sbDhbH9Cz0tuDiY8C3ctxq1tqvaCgkFb8cCA/edit#gid=346597447"",""สกลนคร!J565"")"),0)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IFERROR(__xludf.DUMMYFUNCTION("IMPORTRANGE(""https://docs.google.com/spreadsheets/d/1XL5vhW3sbDhbH9Cz0tuDiY8C3ctxq1tqvaCgkFb8cCA/edit#gid=346597447"",""สกลนคร!I566"")"),0)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IFERROR(__xludf.DUMMYFUNCTION("IMPORTRANGE(""https://docs.google.com/spreadsheets/d/1XL5vhW3sbDhbH9Cz0tuDiY8C3ctxq1tqvaCgkFb8cCA/edit#gid=346597447"",""สกลนคร!L566"")"),0)</f>
        <v>0</v>
      </c>
      <c r="M671" s="570"/>
      <c r="N671" s="587">
        <f ca="1">IFERROR(__xludf.DUMMYFUNCTION("IMPORTRANGE(""https://docs.google.com/spreadsheets/d/1XL5vhW3sbDhbH9Cz0tuDiY8C3ctxq1tqvaCgkFb8cCA/edit#gid=346597447"",""สกลนคร!M566"")"),0)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IFERROR(__xludf.DUMMYFUNCTION("IMPORTRANGE(""https://docs.google.com/spreadsheets/d/1XL5vhW3sbDhbH9Cz0tuDiY8C3ctxq1tqvaCgkFb8cCA/edit#gid=346597447"",""สกลนคร!J567"")"),0)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IFERROR(__xludf.DUMMYFUNCTION("IMPORTRANGE(""https://docs.google.com/spreadsheets/d/1XL5vhW3sbDhbH9Cz0tuDiY8C3ctxq1tqvaCgkFb8cCA/edit#gid=346597447"",""สกลนคร!J568"")"),0)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IFERROR(__xludf.DUMMYFUNCTION("IMPORTRANGE(""https://docs.google.com/spreadsheets/d/1XL5vhW3sbDhbH9Cz0tuDiY8C3ctxq1tqvaCgkFb8cCA/edit#gid=346597447"",""สกลนคร!J569"")"),0)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IFERROR(__xludf.DUMMYFUNCTION("IMPORTRANGE(""https://docs.google.com/spreadsheets/d/1XL5vhW3sbDhbH9Cz0tuDiY8C3ctxq1tqvaCgkFb8cCA/edit#gid=346597447"",""สกลนคร!J570"")"),0)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IFERROR(__xludf.DUMMYFUNCTION("IMPORTRANGE(""https://docs.google.com/spreadsheets/d/1XL5vhW3sbDhbH9Cz0tuDiY8C3ctxq1tqvaCgkFb8cCA/edit#gid=346597447"",""สกลนคร!J571"")"),0)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IFERROR(__xludf.DUMMYFUNCTION("IMPORTRANGE(""https://docs.google.com/spreadsheets/d/1XL5vhW3sbDhbH9Cz0tuDiY8C3ctxq1tqvaCgkFb8cCA/edit#gid=346597447"",""สกลนคร!J572"")"),0)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14062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288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7377057</v>
      </c>
      <c r="M8" s="23">
        <f t="shared" ca="1" si="0"/>
        <v>3864921</v>
      </c>
      <c r="N8" s="23">
        <f t="shared" ca="1" si="0"/>
        <v>5076515.28</v>
      </c>
      <c r="O8" s="22">
        <f t="shared" ref="O8:O16" ca="1" si="1">IF(L8&gt;0,N8*100/L8,0)</f>
        <v>68.814911962859981</v>
      </c>
      <c r="P8" s="22">
        <f t="shared" ref="P8:P16" ca="1" si="2">IF(M8&gt;0,N8*100/M8,0)</f>
        <v>131.3484875887502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7377057</v>
      </c>
      <c r="M10" s="30">
        <f t="shared" ca="1" si="4"/>
        <v>3864921</v>
      </c>
      <c r="N10" s="30">
        <f t="shared" ca="1" si="4"/>
        <v>5076515.28</v>
      </c>
      <c r="O10" s="29">
        <f t="shared" ca="1" si="1"/>
        <v>68.814911962859981</v>
      </c>
      <c r="P10" s="29">
        <f t="shared" ca="1" si="2"/>
        <v>131.3484875887502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6344111</v>
      </c>
      <c r="M12" s="38">
        <f t="shared" ca="1" si="6"/>
        <v>2831975</v>
      </c>
      <c r="N12" s="38">
        <f t="shared" ca="1" si="6"/>
        <v>4043569.2800000003</v>
      </c>
      <c r="O12" s="38">
        <f t="shared" ca="1" si="1"/>
        <v>63.737366512029816</v>
      </c>
      <c r="P12" s="38">
        <f t="shared" ca="1" si="2"/>
        <v>142.78266157010566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4382111</v>
      </c>
      <c r="M14" s="38">
        <f t="shared" si="8"/>
        <v>0</v>
      </c>
      <c r="N14" s="38">
        <f t="shared" ca="1" si="8"/>
        <v>1702054.87</v>
      </c>
      <c r="O14" s="38">
        <f t="shared" ca="1" si="1"/>
        <v>38.840980294657072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4453966</v>
      </c>
      <c r="M18" s="23">
        <f t="shared" ca="1" si="11"/>
        <v>3864921</v>
      </c>
      <c r="N18" s="23">
        <f t="shared" ca="1" si="11"/>
        <v>3374460.41</v>
      </c>
      <c r="O18" s="22">
        <f t="shared" ref="O18:O20" ca="1" si="12">IF(L18&gt;0,N18*100/L18,0)</f>
        <v>75.763048258563273</v>
      </c>
      <c r="P18" s="22">
        <f t="shared" ref="P18:P26" ca="1" si="13">IF(M18&gt;0,N18*100/M18,0)</f>
        <v>87.309945274431229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4453966</v>
      </c>
      <c r="M20" s="30">
        <f t="shared" ca="1" si="15"/>
        <v>3864921</v>
      </c>
      <c r="N20" s="30">
        <f t="shared" ca="1" si="15"/>
        <v>3374460.41</v>
      </c>
      <c r="O20" s="29">
        <f t="shared" ca="1" si="12"/>
        <v>75.763048258563273</v>
      </c>
      <c r="P20" s="29">
        <f t="shared" ca="1" si="13"/>
        <v>87.309945274431229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3421020</v>
      </c>
      <c r="M22" s="41">
        <f t="shared" ca="1" si="18"/>
        <v>2831975</v>
      </c>
      <c r="N22" s="38">
        <f t="shared" ca="1" si="18"/>
        <v>2341514.41</v>
      </c>
      <c r="O22" s="38">
        <f t="shared" ca="1" si="17"/>
        <v>68.444920228469869</v>
      </c>
      <c r="P22" s="38">
        <f t="shared" ca="1" si="13"/>
        <v>82.681323458010752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1459020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2923091</v>
      </c>
      <c r="M28" s="23">
        <f t="shared" si="23"/>
        <v>0</v>
      </c>
      <c r="N28" s="23">
        <f t="shared" ca="1" si="23"/>
        <v>1702054.87</v>
      </c>
      <c r="O28" s="22">
        <f t="shared" ref="O28:O30" ca="1" si="24">IF(L28&gt;0,N28*100/L28,0)</f>
        <v>58.227912507684501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2923091</v>
      </c>
      <c r="M30" s="30">
        <f t="shared" si="27"/>
        <v>0</v>
      </c>
      <c r="N30" s="30">
        <f t="shared" ca="1" si="27"/>
        <v>1702054.87</v>
      </c>
      <c r="O30" s="29">
        <f t="shared" ca="1" si="24"/>
        <v>58.227912507684501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2923091</v>
      </c>
      <c r="M32" s="38">
        <f t="shared" si="30"/>
        <v>0</v>
      </c>
      <c r="N32" s="38">
        <f t="shared" ca="1" si="30"/>
        <v>1702054.87</v>
      </c>
      <c r="O32" s="38">
        <f t="shared" ca="1" si="29"/>
        <v>58.227912507684501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2923091</v>
      </c>
      <c r="M34" s="38">
        <f t="shared" si="32"/>
        <v>0</v>
      </c>
      <c r="N34" s="38">
        <f t="shared" ca="1" si="32"/>
        <v>1702054.87</v>
      </c>
      <c r="O34" s="38">
        <f t="shared" ca="1" si="29"/>
        <v>58.227912507684501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4453966</v>
      </c>
      <c r="M37" s="54">
        <f t="shared" ca="1" si="33"/>
        <v>3864921</v>
      </c>
      <c r="N37" s="54">
        <f t="shared" ca="1" si="33"/>
        <v>3374460.41</v>
      </c>
      <c r="O37" s="55">
        <f t="shared" ca="1" si="29"/>
        <v>75.763048258563273</v>
      </c>
      <c r="P37" s="55">
        <f t="shared" ca="1" si="25"/>
        <v>87.309945274431229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1576256</v>
      </c>
      <c r="N41" s="78">
        <f t="shared" ca="1" si="34"/>
        <v>1522275.6600000001</v>
      </c>
      <c r="O41" s="77">
        <f t="shared" ref="O41:O43" ca="1" si="35">IF(L41&gt;0,N41*100/L41,0)</f>
        <v>86.01613216737222</v>
      </c>
      <c r="P41" s="77">
        <f t="shared" ref="P41:P43" ca="1" si="36">IF(M41&gt;0,N41*100/M41,0)</f>
        <v>96.575407801778397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1576256</v>
      </c>
      <c r="N43" s="78">
        <f t="shared" ca="1" si="38"/>
        <v>1522275.6600000001</v>
      </c>
      <c r="O43" s="77">
        <f t="shared" ca="1" si="35"/>
        <v>86.01613216737222</v>
      </c>
      <c r="P43" s="77">
        <f t="shared" ca="1" si="36"/>
        <v>96.575407801778397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2">
        <f ca="1">IFERROR(__xludf.DUMMYFUNCTION("IMPORTRANGE(""https://docs.google.com/spreadsheets/d/1Yj_ptqi66GCucihVvJfMjLAmec39IyEx_6qawtMGysU/edit?usp=sharing"",""สบก!Q52"")"),580600)</f>
        <v>580600</v>
      </c>
      <c r="N45" s="622">
        <f ca="1">IFERROR(__xludf.DUMMYFUNCTION("IMPORTRANGE(""https://docs.google.com/spreadsheets/d/1Yj_ptqi66GCucihVvJfMjLAmec39IyEx_6qawtMGysU/edit?usp=sharing"",""สบก!R52"")"),526619.66)</f>
        <v>526619.66</v>
      </c>
      <c r="O45" s="623">
        <f ca="1">IF(L45&gt;0,N45*100/L45,0)</f>
        <v>68.029926366102572</v>
      </c>
      <c r="P45" s="623">
        <f ca="1">IF(M45&gt;0,N45*100/M45,0)</f>
        <v>90.702662762659315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IFERROR(__xludf.DUMMYFUNCTION("IMPORTRANGE(""https://docs.google.com/spreadsheets/d/1Yj_ptqi66GCucihVvJfMjLAmec39IyEx_6qawtMGysU/edit?usp=sharing"",""สบก!M52"")"),774100)</f>
        <v>774100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IFERROR(__xludf.DUMMYFUNCTION("IMPORTRANGE(""https://docs.google.com/spreadsheets/d/1Yj_ptqi66GCucihVvJfMjLAmec39IyEx_6qawtMGysU/edit?usp=sharing"",""สบก!N52"")"),0)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IFERROR(__xludf.DUMMYFUNCTION("IMPORTRANGE(""https://docs.google.com/spreadsheets/d/1Yj_ptqi66GCucihVvJfMjLAmec39IyEx_6qawtMGysU/edit?usp=sharing"",""สบก!O52"")"),995656)</f>
        <v>995656</v>
      </c>
      <c r="M49" s="625">
        <f ca="1">L49</f>
        <v>995656</v>
      </c>
      <c r="N49" s="622">
        <f ca="1">IFERROR(__xludf.DUMMYFUNCTION("IMPORTRANGE(""https://docs.google.com/spreadsheets/d/1Yj_ptqi66GCucihVvJfMjLAmec39IyEx_6qawtMGysU/edit?usp=sharing"",""สบก!S52"")"),995656)</f>
        <v>995656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341010</v>
      </c>
      <c r="N53" s="121">
        <f t="shared" ca="1" si="39"/>
        <v>332658</v>
      </c>
      <c r="O53" s="120">
        <f t="shared" ref="O53:O55" ca="1" si="40">IF(L53&gt;0,N53*100/L53,0)</f>
        <v>77.651260504201687</v>
      </c>
      <c r="P53" s="120">
        <f t="shared" ref="P53:P55" ca="1" si="41">IF(M53&gt;0,N53*100/M53,0)</f>
        <v>97.55080496173133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341010</v>
      </c>
      <c r="N55" s="121">
        <f t="shared" ca="1" si="43"/>
        <v>332658</v>
      </c>
      <c r="O55" s="120">
        <f t="shared" ca="1" si="40"/>
        <v>77.651260504201687</v>
      </c>
      <c r="P55" s="120">
        <f t="shared" ca="1" si="41"/>
        <v>97.55080496173133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622">
        <f ca="1">IFERROR(__xludf.DUMMYFUNCTION("IMPORTRANGE(""https://docs.google.com/spreadsheets/d/1Yj_ptqi66GCucihVvJfMjLAmec39IyEx_6qawtMGysU/edit?usp=sharing"",""สบก!Z52"")"),341010)</f>
        <v>341010</v>
      </c>
      <c r="N57" s="622">
        <f ca="1">IFERROR(__xludf.DUMMYFUNCTION("IMPORTRANGE(""https://docs.google.com/spreadsheets/d/1Yj_ptqi66GCucihVvJfMjLAmec39IyEx_6qawtMGysU/edit?usp=sharing"",""สบก!AA52"")"),332658)</f>
        <v>332658</v>
      </c>
      <c r="O57" s="623">
        <f ca="1">IF(L57&gt;0,N57*100/L57,0)</f>
        <v>77.651260504201687</v>
      </c>
      <c r="P57" s="623">
        <f ca="1">IF(M57&gt;0,N57*100/M57,0)</f>
        <v>97.55080496173133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IFERROR(__xludf.DUMMYFUNCTION("IMPORTRANGE(""https://docs.google.com/spreadsheets/d/1Yj_ptqi66GCucihVvJfMjLAmec39IyEx_6qawtMGysU/edit?usp=sharing"",""สบก!V52"")"),428400)</f>
        <v>428400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IFERROR(__xludf.DUMMYFUNCTION("IMPORTRANGE(""https://docs.google.com/spreadsheets/d/1Yj_ptqi66GCucihVvJfMjLAmec39IyEx_6qawtMGysU/edit?usp=sharing"",""สบก!W52"")"),0)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IFERROR(__xludf.DUMMYFUNCTION("IMPORTRANGE(""https://docs.google.com/spreadsheets/d/1Yj_ptqi66GCucihVvJfMjLAmec39IyEx_6qawtMGysU/edit?usp=sharing"",""สบก!X52"")"),0)</f>
        <v>0</v>
      </c>
      <c r="M61" s="625"/>
      <c r="N61" s="622">
        <f ca="1">IFERROR(__xludf.DUMMYFUNCTION("IMPORTRANGE(""https://docs.google.com/spreadsheets/d/1Yj_ptqi66GCucihVvJfMjLAmec39IyEx_6qawtMGysU/edit?usp=sharing"",""สบก!AB52"")"),0)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IFERROR(__xludf.DUMMYFUNCTION("IMPORTRANGE(""https://docs.google.com/spreadsheets/d/1Yj_ptqi66GCucihVvJfMjLAmec39IyEx_6qawtMGysU/edit?usp=sharing"",""สบก!AI52"")"),0)</f>
        <v>0</v>
      </c>
      <c r="N70" s="627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IFERROR(__xludf.DUMMYFUNCTION("IMPORTRANGE(""https://docs.google.com/spreadsheets/d/1Yj_ptqi66GCucihVvJfMjLAmec39IyEx_6qawtMGysU/edit?usp=sharing"",""สบก!AG52"")"),0)</f>
        <v>0</v>
      </c>
      <c r="M74" s="625"/>
      <c r="N74" s="622">
        <f ca="1">IFERROR(__xludf.DUMMYFUNCTION("IMPORTRANGE(""https://docs.google.com/spreadsheets/d/1Yj_ptqi66GCucihVvJfMjLAmec39IyEx_6qawtMGysU/edit?usp=sharing"",""สบก!AK52"")"),0)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IFERROR(__xludf.DUMMYFUNCTION("IMPORTRANGE(""https://docs.google.com/spreadsheets/d/1Yj_ptqi66GCucihVvJfMjLAmec39IyEx_6qawtMGysU/edit?usp=sharing"",""สบก!AR52"")"),0)</f>
        <v>0</v>
      </c>
      <c r="N98" s="627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IFERROR(__xludf.DUMMYFUNCTION("IMPORTRANGE(""https://docs.google.com/spreadsheets/d/1Yj_ptqi66GCucihVvJfMjLAmec39IyEx_6qawtMGysU/edit?usp=sharing"",""สบก!AP52"")"),0)</f>
        <v>0</v>
      </c>
      <c r="M102" s="625"/>
      <c r="N102" s="622">
        <f ca="1">IFERROR(__xludf.DUMMYFUNCTION("IMPORTRANGE(""https://docs.google.com/spreadsheets/d/1Yj_ptqi66GCucihVvJfMjLAmec39IyEx_6qawtMGysU/edit?usp=sharing"",""สบก!AT52"")"),0)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IFERROR(__xludf.DUMMYFUNCTION("IMPORTRANGE(""https://docs.google.com/spreadsheets/d/1Yj_ptqi66GCucihVvJfMjLAmec39IyEx_6qawtMGysU/edit?usp=sharing"",""สบก!BA52"")"),0)</f>
        <v>0</v>
      </c>
      <c r="N122" s="627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IFERROR(__xludf.DUMMYFUNCTION("IMPORTRANGE(""https://docs.google.com/spreadsheets/d/1Yj_ptqi66GCucihVvJfMjLAmec39IyEx_6qawtMGysU/edit?usp=sharing"",""สบก!AY52"")"),0)</f>
        <v>0</v>
      </c>
      <c r="M126" s="625"/>
      <c r="N126" s="622">
        <f ca="1">IFERROR(__xludf.DUMMYFUNCTION("IMPORTRANGE(""https://docs.google.com/spreadsheets/d/1Yj_ptqi66GCucihVvJfMjLAmec39IyEx_6qawtMGysU/edit?usp=sharing"",""สบก!BC52"")"),0)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117900</v>
      </c>
      <c r="M140" s="152">
        <f t="shared" ca="1" si="64"/>
        <v>115625</v>
      </c>
      <c r="N140" s="152">
        <f t="shared" ca="1" si="64"/>
        <v>77725</v>
      </c>
      <c r="O140" s="151">
        <f t="shared" ref="O140:O142" ca="1" si="65">IF(L140&gt;0,N140*100/L140,0)</f>
        <v>65.924512298558099</v>
      </c>
      <c r="P140" s="151">
        <f t="shared" ref="P140:P142" ca="1" si="66">IF(M140&gt;0,N140*100/M140,0)</f>
        <v>67.221621621621622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117900</v>
      </c>
      <c r="M142" s="157">
        <f t="shared" ca="1" si="68"/>
        <v>115625</v>
      </c>
      <c r="N142" s="157">
        <f t="shared" ca="1" si="68"/>
        <v>77725</v>
      </c>
      <c r="O142" s="156">
        <f t="shared" ca="1" si="65"/>
        <v>65.924512298558099</v>
      </c>
      <c r="P142" s="156">
        <f t="shared" ca="1" si="66"/>
        <v>67.221621621621622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117900</v>
      </c>
      <c r="M144" s="626">
        <f ca="1">IFERROR(__xludf.DUMMYFUNCTION("IMPORTRANGE(""https://docs.google.com/spreadsheets/d/1Yj_ptqi66GCucihVvJfMjLAmec39IyEx_6qawtMGysU/edit?usp=sharing"",""สบก!BJ52"")"),115625)</f>
        <v>115625</v>
      </c>
      <c r="N144" s="627">
        <f ca="1">IFERROR(__xludf.DUMMYFUNCTION("IMPORTRANGE(""https://docs.google.com/spreadsheets/d/1Yj_ptqi66GCucihVvJfMjLAmec39IyEx_6qawtMGysU/edit?usp=sharing"",""สบก!BK52"")"),77725)</f>
        <v>77725</v>
      </c>
      <c r="O144" s="169">
        <f ca="1">IF(L144&gt;0,N144*100/L144,0)</f>
        <v>65.924512298558099</v>
      </c>
      <c r="P144" s="169">
        <f ca="1">IF(M144&gt;0,N144*100/M144,0)</f>
        <v>67.221621621621622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IFERROR(__xludf.DUMMYFUNCTION("IMPORTRANGE(""https://docs.google.com/spreadsheets/d/1Yj_ptqi66GCucihVvJfMjLAmec39IyEx_6qawtMGysU/edit?usp=sharing"",""สบก!BG52"")"),117900)</f>
        <v>117900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IFERROR(__xludf.DUMMYFUNCTION("IMPORTRANGE(""https://docs.google.com/spreadsheets/d/1Yj_ptqi66GCucihVvJfMjLAmec39IyEx_6qawtMGysU/edit?usp=sharing"",""สบก!BH52"")"),0)</f>
        <v>0</v>
      </c>
      <c r="M148" s="625"/>
      <c r="N148" s="622">
        <f ca="1">IFERROR(__xludf.DUMMYFUNCTION("IMPORTRANGE(""https://docs.google.com/spreadsheets/d/1Yj_ptqi66GCucihVvJfMjLAmec39IyEx_6qawtMGysU/edit?usp=sharing"",""สบก!BL52"")"),0)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IFERROR(__xludf.DUMMYFUNCTION("IMPORTRANGE(""https://docs.google.com/spreadsheets/d/1XL5vhW3sbDhbH9Cz0tuDiY8C3ctxq1tqvaCgkFb8cCA/edit?usp=sharing"",""สุรินทร์!J84"")"),95)</f>
        <v>95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IFERROR(__xludf.DUMMYFUNCTION("IMPORTRANGE(""https://docs.google.com/spreadsheets/d/1XL5vhW3sbDhbH9Cz0tuDiY8C3ctxq1tqvaCgkFb8cCA/edit?usp=sharing"",""สุรินทร์!J85"")"),95)</f>
        <v>95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IFERROR(__xludf.DUMMYFUNCTION("IMPORTRANGE(""https://docs.google.com/spreadsheets/d/1Yj_ptqi66GCucihVvJfMjLAmec39IyEx_6qawtMGysU/edit?usp=sharing"",""สบก!BS52"")"),20210)</f>
        <v>20210</v>
      </c>
      <c r="N224" s="627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IFERROR(__xludf.DUMMYFUNCTION("IMPORTRANGE(""https://docs.google.com/spreadsheets/d/1Yj_ptqi66GCucihVvJfMjLAmec39IyEx_6qawtMGysU/edit?usp=sharing"",""สบก!BQ52"")"),0)</f>
        <v>0</v>
      </c>
      <c r="M228" s="625"/>
      <c r="N228" s="622">
        <f ca="1">IFERROR(__xludf.DUMMYFUNCTION("IMPORTRANGE(""https://docs.google.com/spreadsheets/d/1Yj_ptqi66GCucihVvJfMjLAmec39IyEx_6qawtMGysU/edit?usp=sharing"",""สบก!BU52"")"),0)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IFERROR(__xludf.DUMMYFUNCTION("IMPORTRANGE(""https://docs.google.com/spreadsheets/d/1Yj_ptqi66GCucihVvJfMjLAmec39IyEx_6qawtMGysU/edit?usp=sharing"",""สบก!CB52"")"),0)</f>
        <v>0</v>
      </c>
      <c r="N254" s="627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IFERROR(__xludf.DUMMYFUNCTION("IMPORTRANGE(""https://docs.google.com/spreadsheets/d/1Yj_ptqi66GCucihVvJfMjLAmec39IyEx_6qawtMGysU/edit?usp=sharing"",""สบก!BZ52"")"),0)</f>
        <v>0</v>
      </c>
      <c r="M258" s="625"/>
      <c r="N258" s="622">
        <f ca="1">IFERROR(__xludf.DUMMYFUNCTION("IMPORTRANGE(""https://docs.google.com/spreadsheets/d/1Yj_ptqi66GCucihVvJfMjLAmec39IyEx_6qawtMGysU/edit?usp=sharing"",""สบก!CD52"")"),0)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IFERROR(__xludf.DUMMYFUNCTION("IMPORTRANGE(""https://docs.google.com/spreadsheets/d/1Yj_ptqi66GCucihVvJfMjLAmec39IyEx_6qawtMGysU/edit?usp=sharing"",""สบก!CK52"")"),32250)</f>
        <v>32250</v>
      </c>
      <c r="N275" s="627">
        <f ca="1">IFERROR(__xludf.DUMMYFUNCTION("IMPORTRANGE(""https://docs.google.com/spreadsheets/d/1Yj_ptqi66GCucihVvJfMjLAmec39IyEx_6qawtMGysU/edit?usp=sharing"",""สบก!CL52"")"),32170)</f>
        <v>32170</v>
      </c>
      <c r="O275" s="169">
        <f ca="1">IF(L275&gt;0,N275*100/L275,0)</f>
        <v>58.278985507246375</v>
      </c>
      <c r="P275" s="169">
        <f ca="1">IF(M275&gt;0,N275*100/M275,0)</f>
        <v>99.751937984496124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IFERROR(__xludf.DUMMYFUNCTION("IMPORTRANGE(""https://docs.google.com/spreadsheets/d/1Yj_ptqi66GCucihVvJfMjLAmec39IyEx_6qawtMGysU/edit?usp=sharing"",""สบก!CI52"")"),0)</f>
        <v>0</v>
      </c>
      <c r="M279" s="625"/>
      <c r="N279" s="622">
        <f ca="1">IFERROR(__xludf.DUMMYFUNCTION("IMPORTRANGE(""https://docs.google.com/spreadsheets/d/1Yj_ptqi66GCucihVvJfMjLAmec39IyEx_6qawtMGysU/edit?usp=sharing"",""สบก!CM52"")"),0)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IFERROR(__xludf.DUMMYFUNCTION("IMPORTRANGE(""https://docs.google.com/spreadsheets/d/1Yj_ptqi66GCucihVvJfMjLAmec39IyEx_6qawtMGysU/edit?usp=sharing"",""สบก!CT52"")"),0)</f>
        <v>0</v>
      </c>
      <c r="N294" s="627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IFERROR(__xludf.DUMMYFUNCTION("IMPORTRANGE(""https://docs.google.com/spreadsheets/d/1Yj_ptqi66GCucihVvJfMjLAmec39IyEx_6qawtMGysU/edit?usp=sharing"",""สบก!CR52"")"),0)</f>
        <v>0</v>
      </c>
      <c r="M298" s="625"/>
      <c r="N298" s="622">
        <f ca="1">IFERROR(__xludf.DUMMYFUNCTION("IMPORTRANGE(""https://docs.google.com/spreadsheets/d/1Yj_ptqi66GCucihVvJfMjLAmec39IyEx_6qawtMGysU/edit?usp=sharing"",""สบก!CV52"")"),0)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IFERROR(__xludf.DUMMYFUNCTION("IMPORTRANGE(""https://docs.google.com/spreadsheets/d/1Yj_ptqi66GCucihVvJfMjLAmec39IyEx_6qawtMGysU/edit?usp=sharing"",""สบก!DC52"")"),0)</f>
        <v>0</v>
      </c>
      <c r="N314" s="627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IFERROR(__xludf.DUMMYFUNCTION("IMPORTRANGE(""https://docs.google.com/spreadsheets/d/1Yj_ptqi66GCucihVvJfMjLAmec39IyEx_6qawtMGysU/edit?usp=sharing"",""สบก!DA52"")"),0)</f>
        <v>0</v>
      </c>
      <c r="M318" s="625"/>
      <c r="N318" s="622">
        <f ca="1">IFERROR(__xludf.DUMMYFUNCTION("IMPORTRANGE(""https://docs.google.com/spreadsheets/d/1Yj_ptqi66GCucihVvJfMjLAmec39IyEx_6qawtMGysU/edit?usp=sharing"",""สบก!DE52"")"),0)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IFERROR(__xludf.DUMMYFUNCTION("IMPORTRANGE(""https://docs.google.com/spreadsheets/d/1XL5vhW3sbDhbH9Cz0tuDiY8C3ctxq1tqvaCgkFb8cCA/edit?usp=sharing"",""สุรินทร์!J228"")"),809)</f>
        <v>809</v>
      </c>
      <c r="K328" s="318">
        <f ca="1">IF(I328&gt;0,J328*100/I328,0)</f>
        <v>63.7007874015748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1779570</v>
      </c>
      <c r="N329" s="152">
        <f t="shared" ca="1" si="98"/>
        <v>1389421.75</v>
      </c>
      <c r="O329" s="151">
        <f t="shared" ref="O329:O331" ca="1" si="99">IF(L329&gt;0,N329*100/L329,0)</f>
        <v>67.365903030303031</v>
      </c>
      <c r="P329" s="151">
        <f t="shared" ref="P329:P331" ca="1" si="100">IF(M329&gt;0,N329*100/M329,0)</f>
        <v>78.076262805059656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1779570</v>
      </c>
      <c r="N331" s="157">
        <f t="shared" ca="1" si="102"/>
        <v>1389421.75</v>
      </c>
      <c r="O331" s="156">
        <f t="shared" ca="1" si="99"/>
        <v>67.365903030303031</v>
      </c>
      <c r="P331" s="156">
        <f t="shared" ca="1" si="100"/>
        <v>78.076262805059656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6">
        <f ca="1">IFERROR(__xludf.DUMMYFUNCTION("IMPORTRANGE(""https://docs.google.com/spreadsheets/d/1Yj_ptqi66GCucihVvJfMjLAmec39IyEx_6qawtMGysU/edit?usp=sharing"",""สบก!DL52"")"),1742280)</f>
        <v>1742280</v>
      </c>
      <c r="N333" s="627">
        <f ca="1">IFERROR(__xludf.DUMMYFUNCTION("IMPORTRANGE(""https://docs.google.com/spreadsheets/d/1Yj_ptqi66GCucihVvJfMjLAmec39IyEx_6qawtMGysU/edit?usp=sharing"",""สบก!DM52"")"),1352131.75)</f>
        <v>1352131.75</v>
      </c>
      <c r="O333" s="169">
        <f ca="1">IF(L333&gt;0,N333*100/L333,0)</f>
        <v>66.765014492324255</v>
      </c>
      <c r="P333" s="169">
        <f ca="1">IF(M333&gt;0,N333*100/M333,0)</f>
        <v>77.607029294946855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IFERROR(__xludf.DUMMYFUNCTION("IMPORTRANGE(""https://docs.google.com/spreadsheets/d/1Yj_ptqi66GCucihVvJfMjLAmec39IyEx_6qawtMGysU/edit?usp=sharing"",""สบก!DJ52"")"),37290)</f>
        <v>37290</v>
      </c>
      <c r="M337" s="625">
        <f ca="1">L337</f>
        <v>37290</v>
      </c>
      <c r="N337" s="622">
        <f ca="1">IFERROR(__xludf.DUMMYFUNCTION("IMPORTRANGE(""https://docs.google.com/spreadsheets/d/1Yj_ptqi66GCucihVvJfMjLAmec39IyEx_6qawtMGysU/edit?usp=sharing"",""สบก!DN52"")"),37290)</f>
        <v>37290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IFERROR(__xludf.DUMMYFUNCTION("IMPORTRANGE(""https://docs.google.com/spreadsheets/d/1XL5vhW3sbDhbH9Cz0tuDiY8C3ctxq1tqvaCgkFb8cCA/edit?usp=sharing"",""สุรินทร์!J234"")"),575)</f>
        <v>575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IFERROR(__xludf.DUMMYFUNCTION("IMPORTRANGE(""https://docs.google.com/spreadsheets/d/1XL5vhW3sbDhbH9Cz0tuDiY8C3ctxq1tqvaCgkFb8cCA/edit?usp=sharing"",""สุรินทร์!J235"")"),4255.19)</f>
        <v>4255.1899999999996</v>
      </c>
      <c r="K340" s="343">
        <f t="shared" ca="1" si="103"/>
        <v>62.576323529411759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IFERROR(__xludf.DUMMYFUNCTION("IMPORTRANGE(""https://docs.google.com/spreadsheets/d/1XL5vhW3sbDhbH9Cz0tuDiY8C3ctxq1tqvaCgkFb8cCA/edit?usp=sharing"",""สุรินทร์!J236"")"),714)</f>
        <v>714</v>
      </c>
      <c r="K341" s="343">
        <f t="shared" ca="1" si="103"/>
        <v>56.220472440944881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IFERROR(__xludf.DUMMYFUNCTION("IMPORTRANGE(""https://docs.google.com/spreadsheets/d/1XL5vhW3sbDhbH9Cz0tuDiY8C3ctxq1tqvaCgkFb8cCA/edit?usp=sharing"",""สุรินทร์!J237"")"),5703.54)</f>
        <v>5703.54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IFERROR(__xludf.DUMMYFUNCTION("IMPORTRANGE(""https://docs.google.com/spreadsheets/d/1XL5vhW3sbDhbH9Cz0tuDiY8C3ctxq1tqvaCgkFb8cCA/edit?usp=sharing"",""สุรินทร์!J238"")"),4)</f>
        <v>4</v>
      </c>
      <c r="K343" s="343">
        <f t="shared" ca="1" si="103"/>
        <v>0.31496062992125984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IFERROR(__xludf.DUMMYFUNCTION("IMPORTRANGE(""https://docs.google.com/spreadsheets/d/1XL5vhW3sbDhbH9Cz0tuDiY8C3ctxq1tqvaCgkFb8cCA/edit?usp=sharing"",""สุรินทร์!J239"")"),20.23)</f>
        <v>20.23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IFERROR(__xludf.DUMMYFUNCTION("IMPORTRANGE(""https://docs.google.com/spreadsheets/d/1XL5vhW3sbDhbH9Cz0tuDiY8C3ctxq1tqvaCgkFb8cCA/edit?usp=sharing"",""สุรินทร์!J240"")"),809)</f>
        <v>809</v>
      </c>
      <c r="K345" s="343">
        <f t="shared" ca="1" si="103"/>
        <v>63.7007874015748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IFERROR(__xludf.DUMMYFUNCTION("IMPORTRANGE(""https://docs.google.com/spreadsheets/d/1XL5vhW3sbDhbH9Cz0tuDiY8C3ctxq1tqvaCgkFb8cCA/edit?usp=sharing"",""สุรินทร์!J241"")"),6185.73)</f>
        <v>6185.73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IFERROR(__xludf.DUMMYFUNCTION("IMPORTRANGE(""https://docs.google.com/spreadsheets/d/1XL5vhW3sbDhbH9Cz0tuDiY8C3ctxq1tqvaCgkFb8cCA/edit?usp=sharing"",""สุรินทร์!L242"")"),2923091)</f>
        <v>2923091</v>
      </c>
      <c r="M347" s="358"/>
      <c r="N347" s="358">
        <f ca="1">IFERROR(__xludf.DUMMYFUNCTION("IMPORTRANGE(""https://docs.google.com/spreadsheets/d/1XL5vhW3sbDhbH9Cz0tuDiY8C3ctxq1tqvaCgkFb8cCA/edit?usp=sharing"",""สุรินทร์!M242"")"),1702054.87)</f>
        <v>1702054.87</v>
      </c>
      <c r="O347" s="358">
        <f ca="1">+IF(L347&gt;0,N347*100/L347,0)</f>
        <v>58.227912507684501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IFERROR(__xludf.DUMMYFUNCTION("IMPORTRANGE(""https://docs.google.com/spreadsheets/d/1XL5vhW3sbDhbH9Cz0tuDiY8C3ctxq1tqvaCgkFb8cCA/edit?usp=sharing"",""สุรินทร์!M244"")"),170208)</f>
        <v>170208</v>
      </c>
      <c r="O349" s="373">
        <f ca="1">+IF(L349&gt;0,N349*100/L349,0)</f>
        <v>87.098556954252373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IFERROR(__xludf.DUMMYFUNCTION("IMPORTRANGE(""https://docs.google.com/spreadsheets/d/1XL5vhW3sbDhbH9Cz0tuDiY8C3ctxq1tqvaCgkFb8cCA/edit?usp=sharing"",""สุรินทร์!M247"")"),170208)</f>
        <v>170208</v>
      </c>
      <c r="O352" s="165">
        <f t="shared" ca="1" si="105"/>
        <v>87.098556954252373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IFERROR(__xludf.DUMMYFUNCTION("IMPORTRANGE(""https://docs.google.com/spreadsheets/d/1XL5vhW3sbDhbH9Cz0tuDiY8C3ctxq1tqvaCgkFb8cCA/edit?usp=sharing"",""สุรินทร์!M249"")"),170208)</f>
        <v>170208</v>
      </c>
      <c r="O354" s="169">
        <f t="shared" ca="1" si="105"/>
        <v>87.098556954252373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IFERROR(__xludf.DUMMYFUNCTION("IMPORTRANGE(""https://docs.google.com/spreadsheets/d/1XL5vhW3sbDhbH9Cz0tuDiY8C3ctxq1tqvaCgkFb8cCA/edit?usp=sharing"",""สุรินทร์!M251"")"),151800)</f>
        <v>151800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IFERROR(__xludf.DUMMYFUNCTION("IMPORTRANGE(""https://docs.google.com/spreadsheets/d/1XL5vhW3sbDhbH9Cz0tuDiY8C3ctxq1tqvaCgkFb8cCA/edit?usp=sharing"",""สุรินทร์!M275"")"),616225)</f>
        <v>616225</v>
      </c>
      <c r="O380" s="373">
        <f ca="1">+IF(L380&gt;0,N380*100/L380,0)</f>
        <v>59.913759576867733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IFERROR(__xludf.DUMMYFUNCTION("IMPORTRANGE(""https://docs.google.com/spreadsheets/d/1XL5vhW3sbDhbH9Cz0tuDiY8C3ctxq1tqvaCgkFb8cCA/edit?usp=sharing"",""สุรินทร์!M278"")"),616225)</f>
        <v>616225</v>
      </c>
      <c r="O383" s="165">
        <f t="shared" ca="1" si="109"/>
        <v>59.913759576867733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IFERROR(__xludf.DUMMYFUNCTION("IMPORTRANGE(""https://docs.google.com/spreadsheets/d/1XL5vhW3sbDhbH9Cz0tuDiY8C3ctxq1tqvaCgkFb8cCA/edit?usp=sharing"",""สุรินทร์!M280"")"),616225)</f>
        <v>616225</v>
      </c>
      <c r="O385" s="169">
        <f t="shared" ca="1" si="109"/>
        <v>59.913759576867733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IFERROR(__xludf.DUMMYFUNCTION("IMPORTRANGE(""https://docs.google.com/spreadsheets/d/1XL5vhW3sbDhbH9Cz0tuDiY8C3ctxq1tqvaCgkFb8cCA/edit?usp=sharing"",""สุรินทร์!M281"")"),190850)</f>
        <v>190850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IFERROR(__xludf.DUMMYFUNCTION("IMPORTRANGE(""https://docs.google.com/spreadsheets/d/1XL5vhW3sbDhbH9Cz0tuDiY8C3ctxq1tqvaCgkFb8cCA/edit?usp=sharing"",""สุรินทร์!M283"")"),63510)</f>
        <v>63510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IFERROR(__xludf.DUMMYFUNCTION("IMPORTRANGE(""https://docs.google.com/spreadsheets/d/1XL5vhW3sbDhbH9Cz0tuDiY8C3ctxq1tqvaCgkFb8cCA/edit?usp=sharing"",""สุรินทร์!M284"")"),28310)</f>
        <v>28310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IFERROR(__xludf.DUMMYFUNCTION("IMPORTRANGE(""https://docs.google.com/spreadsheets/d/1XL5vhW3sbDhbH9Cz0tuDiY8C3ctxq1tqvaCgkFb8cCA/edit?usp=sharing"",""สุรินทร์!M296"")"),133269)</f>
        <v>133269</v>
      </c>
      <c r="O401" s="373">
        <f ca="1">+IF(L401&gt;0,N401*100/L401,0)</f>
        <v>83.319162238199439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IFERROR(__xludf.DUMMYFUNCTION("IMPORTRANGE(""https://docs.google.com/spreadsheets/d/1XL5vhW3sbDhbH9Cz0tuDiY8C3ctxq1tqvaCgkFb8cCA/edit?usp=sharing"",""สุรินทร์!M299"")"),133269)</f>
        <v>133269</v>
      </c>
      <c r="O404" s="169">
        <f t="shared" ca="1" si="112"/>
        <v>83.319162238199439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IFERROR(__xludf.DUMMYFUNCTION("IMPORTRANGE(""https://docs.google.com/spreadsheets/d/1XL5vhW3sbDhbH9Cz0tuDiY8C3ctxq1tqvaCgkFb8cCA/edit?usp=sharing"",""สุรินทร์!M301"")"),133269)</f>
        <v>133269</v>
      </c>
      <c r="O406" s="169">
        <f t="shared" ca="1" si="112"/>
        <v>83.319162238199439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IFERROR(__xludf.DUMMYFUNCTION("IMPORTRANGE(""https://docs.google.com/spreadsheets/d/1XL5vhW3sbDhbH9Cz0tuDiY8C3ctxq1tqvaCgkFb8cCA/edit?usp=sharing"",""สุรินทร์!M302"")"),97050)</f>
        <v>97050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IFERROR(__xludf.DUMMYFUNCTION("IMPORTRANGE(""https://docs.google.com/spreadsheets/d/1XL5vhW3sbDhbH9Cz0tuDiY8C3ctxq1tqvaCgkFb8cCA/edit?usp=sharing"",""สุรินทร์!M305"")"),3719)</f>
        <v>3719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IFERROR(__xludf.DUMMYFUNCTION("IMPORTRANGE(""https://docs.google.com/spreadsheets/d/1XL5vhW3sbDhbH9Cz0tuDiY8C3ctxq1tqvaCgkFb8cCA/edit?usp=sharing"",""สุรินทร์!M330"")"),188657)</f>
        <v>188657</v>
      </c>
      <c r="O435" s="412">
        <f t="shared" ref="O435:O439" ca="1" si="114">+IF(L435&gt;0,N435*100/L435,0)</f>
        <v>84.980630630630628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IFERROR(__xludf.DUMMYFUNCTION("IMPORTRANGE(""https://docs.google.com/spreadsheets/d/1XL5vhW3sbDhbH9Cz0tuDiY8C3ctxq1tqvaCgkFb8cCA/edit?usp=sharing"",""สุรินทร์!M332"")"),188657)</f>
        <v>188657</v>
      </c>
      <c r="O437" s="169">
        <f t="shared" ca="1" si="114"/>
        <v>84.980630630630628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IFERROR(__xludf.DUMMYFUNCTION("IMPORTRANGE(""https://docs.google.com/spreadsheets/d/1XL5vhW3sbDhbH9Cz0tuDiY8C3ctxq1tqvaCgkFb8cCA/edit?usp=sharing"",""สุรินทร์!M334"")"),188657)</f>
        <v>188657</v>
      </c>
      <c r="O439" s="169">
        <f t="shared" ca="1" si="114"/>
        <v>84.980630630630628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IFERROR(__xludf.DUMMYFUNCTION("IMPORTRANGE(""https://docs.google.com/spreadsheets/d/1XL5vhW3sbDhbH9Cz0tuDiY8C3ctxq1tqvaCgkFb8cCA/edit?usp=sharing"",""สุรินทร์!M335"")"),162548)</f>
        <v>162548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IFERROR(__xludf.DUMMYFUNCTION("IMPORTRANGE(""https://docs.google.com/spreadsheets/d/1XL5vhW3sbDhbH9Cz0tuDiY8C3ctxq1tqvaCgkFb8cCA/edit?usp=sharing"",""สุรินทร์!M338"")"),26109)</f>
        <v>26109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IFERROR(__xludf.DUMMYFUNCTION("IMPORTRANGE(""https://docs.google.com/spreadsheets/d/1XL5vhW3sbDhbH9Cz0tuDiY8C3ctxq1tqvaCgkFb8cCA/edit?usp=sharing"",""สุรินทร์!J350"")"),45338.87)</f>
        <v>45338.87</v>
      </c>
      <c r="K455" s="372">
        <f ca="1">IF(I455&gt;0,J455*100/I455,0)</f>
        <v>99.999713271135221</v>
      </c>
      <c r="L455" s="373">
        <f ca="1">IFERROR(__xludf.DUMMYFUNCTION("IMPORTRANGE(""https://docs.google.com/spreadsheets/d/1XL5vhW3sbDhbH9Cz0tuDiY8C3ctxq1tqvaCgkFb8cCA/edit?usp=sharing"",""สุรินทร์!L350"")"),776461)</f>
        <v>776461</v>
      </c>
      <c r="M455" s="373"/>
      <c r="N455" s="373">
        <f ca="1">IFERROR(__xludf.DUMMYFUNCTION("IMPORTRANGE(""https://docs.google.com/spreadsheets/d/1XL5vhW3sbDhbH9Cz0tuDiY8C3ctxq1tqvaCgkFb8cCA/edit?usp=sharing"",""สุรินทร์!M350"")"),282978.07)</f>
        <v>282978.07</v>
      </c>
      <c r="O455" s="373">
        <f t="shared" ref="O455:O459" ca="1" si="116">+IF(L455&gt;0,N455*100/L455,0)</f>
        <v>36.444595414322158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IFERROR(__xludf.DUMMYFUNCTION("IMPORTRANGE(""https://docs.google.com/spreadsheets/d/1XL5vhW3sbDhbH9Cz0tuDiY8C3ctxq1tqvaCgkFb8cCA/edit?usp=sharing"",""สุรินทร์!L352"")"),776461)</f>
        <v>776461</v>
      </c>
      <c r="M457" s="165"/>
      <c r="N457" s="169">
        <f ca="1">IFERROR(__xludf.DUMMYFUNCTION("IMPORTRANGE(""https://docs.google.com/spreadsheets/d/1XL5vhW3sbDhbH9Cz0tuDiY8C3ctxq1tqvaCgkFb8cCA/edit?usp=sharing"",""สุรินทร์!M352"")"),282978.07)</f>
        <v>282978.07</v>
      </c>
      <c r="O457" s="169">
        <f t="shared" ca="1" si="116"/>
        <v>36.444595414322158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IFERROR(__xludf.DUMMYFUNCTION("IMPORTRANGE(""https://docs.google.com/spreadsheets/d/1XL5vhW3sbDhbH9Cz0tuDiY8C3ctxq1tqvaCgkFb8cCA/edit?usp=sharing"",""สุรินทร์!L354"")"),776461)</f>
        <v>776461</v>
      </c>
      <c r="M459" s="169"/>
      <c r="N459" s="169">
        <f ca="1">IFERROR(__xludf.DUMMYFUNCTION("IMPORTRANGE(""https://docs.google.com/spreadsheets/d/1XL5vhW3sbDhbH9Cz0tuDiY8C3ctxq1tqvaCgkFb8cCA/edit?usp=sharing"",""สุรินทร์!M354"")"),282978.07)</f>
        <v>282978.07</v>
      </c>
      <c r="O459" s="169">
        <f t="shared" ca="1" si="116"/>
        <v>36.444595414322158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IFERROR(__xludf.DUMMYFUNCTION("IMPORTRANGE(""https://docs.google.com/spreadsheets/d/1XL5vhW3sbDhbH9Cz0tuDiY8C3ctxq1tqvaCgkFb8cCA/edit?usp=sharing"",""สุรินทร์!M357"")"),84451)</f>
        <v>84451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IFERROR(__xludf.DUMMYFUNCTION("IMPORTRANGE(""https://docs.google.com/spreadsheets/d/1XL5vhW3sbDhbH9Cz0tuDiY8C3ctxq1tqvaCgkFb8cCA/edit?usp=sharing"",""สุรินทร์!M358"")"),198527.07)</f>
        <v>198527.07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IFERROR(__xludf.DUMMYFUNCTION("IMPORTRANGE(""https://docs.google.com/spreadsheets/d/1XL5vhW3sbDhbH9Cz0tuDiY8C3ctxq1tqvaCgkFb8cCA/edit?usp=sharing"",""สุรินทร์!J359"")"),45338.87)</f>
        <v>45338.87</v>
      </c>
      <c r="K464" s="269">
        <f t="shared" ref="K464:K515" ca="1" si="117">IF(I464&gt;0,J464*100/I464,0)</f>
        <v>99.999713271135221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IFERROR(__xludf.DUMMYFUNCTION("IMPORTRANGE(""https://docs.google.com/spreadsheets/d/1XL5vhW3sbDhbH9Cz0tuDiY8C3ctxq1tqvaCgkFb8cCA/edit?usp=sharing"",""สุรินทร์!J376"")"),45338.87)</f>
        <v>45338.87</v>
      </c>
      <c r="K481" s="202">
        <f t="shared" ca="1" si="117"/>
        <v>99.999713271135221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IFERROR(__xludf.DUMMYFUNCTION("IMPORTRANGE(""https://docs.google.com/spreadsheets/d/1XL5vhW3sbDhbH9Cz0tuDiY8C3ctxq1tqvaCgkFb8cCA/edit?usp=sharing"",""สุรินทร์!J378"")"),37489.87)</f>
        <v>37489.870000000003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IFERROR(__xludf.DUMMYFUNCTION("IMPORTRANGE(""https://docs.google.com/spreadsheets/d/1XL5vhW3sbDhbH9Cz0tuDiY8C3ctxq1tqvaCgkFb8cCA/edit?usp=sharing"",""สุรินทร์!J379"")"),5563)</f>
        <v>5563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IFERROR(__xludf.DUMMYFUNCTION("IMPORTRANGE(""https://docs.google.com/spreadsheets/d/1XL5vhW3sbDhbH9Cz0tuDiY8C3ctxq1tqvaCgkFb8cCA/edit?usp=sharing"",""สุรินทร์!J380"")"),6841)</f>
        <v>6841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IFERROR(__xludf.DUMMYFUNCTION("IMPORTRANGE(""https://docs.google.com/spreadsheets/d/1XL5vhW3sbDhbH9Cz0tuDiY8C3ctxq1tqvaCgkFb8cCA/edit?usp=sharing"",""สุรินทร์!J381"")"),711)</f>
        <v>711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IFERROR(__xludf.DUMMYFUNCTION("IMPORTRANGE(""https://docs.google.com/spreadsheets/d/1XL5vhW3sbDhbH9Cz0tuDiY8C3ctxq1tqvaCgkFb8cCA/edit?usp=sharing"",""สุรินทร์!J382"")"),1008)</f>
        <v>1008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IFERROR(__xludf.DUMMYFUNCTION("IMPORTRANGE(""https://docs.google.com/spreadsheets/d/1XL5vhW3sbDhbH9Cz0tuDiY8C3ctxq1tqvaCgkFb8cCA/edit?usp=sharing"",""สุรินทร์!J383"")"),79)</f>
        <v>79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IFERROR(__xludf.DUMMYFUNCTION("IMPORTRANGE(""https://docs.google.com/spreadsheets/d/1XL5vhW3sbDhbH9Cz0tuDiY8C3ctxq1tqvaCgkFb8cCA/edit?usp=sharing"",""สุรินทร์!J384"")"),1008)</f>
        <v>1008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IFERROR(__xludf.DUMMYFUNCTION("IMPORTRANGE(""https://docs.google.com/spreadsheets/d/1XL5vhW3sbDhbH9Cz0tuDiY8C3ctxq1tqvaCgkFb8cCA/edit?usp=sharing"",""สุรินทร์!J385"")"),79)</f>
        <v>79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IFERROR(__xludf.DUMMYFUNCTION("IMPORTRANGE(""https://docs.google.com/spreadsheets/d/1XL5vhW3sbDhbH9Cz0tuDiY8C3ctxq1tqvaCgkFb8cCA/edit?usp=sharing"",""สุรินทร์!J392"")"),2205.42)</f>
        <v>2205.42</v>
      </c>
      <c r="K497" s="444">
        <f t="shared" ca="1" si="117"/>
        <v>48.311500547645124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IFERROR(__xludf.DUMMYFUNCTION("IMPORTRANGE(""https://docs.google.com/spreadsheets/d/1XL5vhW3sbDhbH9Cz0tuDiY8C3ctxq1tqvaCgkFb8cCA/edit?usp=sharing"",""สุรินทร์!J393"")"),2205.42)</f>
        <v>2205.42</v>
      </c>
      <c r="K498" s="202">
        <f t="shared" ca="1" si="117"/>
        <v>48.311500547645124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IFERROR(__xludf.DUMMYFUNCTION("IMPORTRANGE(""https://docs.google.com/spreadsheets/d/1XL5vhW3sbDhbH9Cz0tuDiY8C3ctxq1tqvaCgkFb8cCA/edit?usp=sharing"",""สุรินทร์!J394"")"),424)</f>
        <v>424</v>
      </c>
      <c r="K499" s="202">
        <f t="shared" ca="1" si="117"/>
        <v>47.163515016685203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IFERROR(__xludf.DUMMYFUNCTION("IMPORTRANGE(""https://docs.google.com/spreadsheets/d/1XL5vhW3sbDhbH9Cz0tuDiY8C3ctxq1tqvaCgkFb8cCA/edit?usp=sharing"",""สุรินทร์!J395"")"),1780.42)</f>
        <v>1780.42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IFERROR(__xludf.DUMMYFUNCTION("IMPORTRANGE(""https://docs.google.com/spreadsheets/d/1XL5vhW3sbDhbH9Cz0tuDiY8C3ctxq1tqvaCgkFb8cCA/edit?usp=sharing"",""สุรินทร์!J396"")"),359)</f>
        <v>359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IFERROR(__xludf.DUMMYFUNCTION("IMPORTRANGE(""https://docs.google.com/spreadsheets/d/1XL5vhW3sbDhbH9Cz0tuDiY8C3ctxq1tqvaCgkFb8cCA/edit?usp=sharing"",""สุรินทร์!J397"")"),1590.42)</f>
        <v>1590.42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IFERROR(__xludf.DUMMYFUNCTION("IMPORTRANGE(""https://docs.google.com/spreadsheets/d/1XL5vhW3sbDhbH9Cz0tuDiY8C3ctxq1tqvaCgkFb8cCA/edit?usp=sharing"",""สุรินทร์!J398"")"),313)</f>
        <v>313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IFERROR(__xludf.DUMMYFUNCTION("IMPORTRANGE(""https://docs.google.com/spreadsheets/d/1XL5vhW3sbDhbH9Cz0tuDiY8C3ctxq1tqvaCgkFb8cCA/edit?usp=sharing"",""สุรินทร์!J399"")"),190)</f>
        <v>190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IFERROR(__xludf.DUMMYFUNCTION("IMPORTRANGE(""https://docs.google.com/spreadsheets/d/1XL5vhW3sbDhbH9Cz0tuDiY8C3ctxq1tqvaCgkFb8cCA/edit?usp=sharing"",""สุรินทร์!J400"")"),46)</f>
        <v>46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IFERROR(__xludf.DUMMYFUNCTION("IMPORTRANGE(""https://docs.google.com/spreadsheets/d/1XL5vhW3sbDhbH9Cz0tuDiY8C3ctxq1tqvaCgkFb8cCA/edit?usp=sharing"",""สุรินทร์!J403"")"),425)</f>
        <v>425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IFERROR(__xludf.DUMMYFUNCTION("IMPORTRANGE(""https://docs.google.com/spreadsheets/d/1XL5vhW3sbDhbH9Cz0tuDiY8C3ctxq1tqvaCgkFb8cCA/edit?usp=sharing"",""สุรินทร์!J404"")"),65)</f>
        <v>65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IFERROR(__xludf.DUMMYFUNCTION("IMPORTRANGE(""https://docs.google.com/spreadsheets/d/1XL5vhW3sbDhbH9Cz0tuDiY8C3ctxq1tqvaCgkFb8cCA/edit?usp=sharing"",""สุรินทร์!J405"")"),425)</f>
        <v>425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IFERROR(__xludf.DUMMYFUNCTION("IMPORTRANGE(""https://docs.google.com/spreadsheets/d/1XL5vhW3sbDhbH9Cz0tuDiY8C3ctxq1tqvaCgkFb8cCA/edit?usp=sharing"",""สุรินทร์!J406"")"),65)</f>
        <v>65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IFERROR(__xludf.DUMMYFUNCTION("IMPORTRANGE(""https://docs.google.com/spreadsheets/d/1XL5vhW3sbDhbH9Cz0tuDiY8C3ctxq1tqvaCgkFb8cCA/edit?usp=sharing"",""สุรินทร์!J459"")"),6321)</f>
        <v>6321</v>
      </c>
      <c r="K564" s="372">
        <f ca="1">IF(I564&gt;0,J564*100/I564,0)</f>
        <v>114.92727272727272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IFERROR(__xludf.DUMMYFUNCTION("IMPORTRANGE(""https://docs.google.com/spreadsheets/d/1XL5vhW3sbDhbH9Cz0tuDiY8C3ctxq1tqvaCgkFb8cCA/edit?usp=sharing"",""สุรินทร์!M459"")"),135637.8)</f>
        <v>135637.79999999999</v>
      </c>
      <c r="O564" s="373">
        <f t="shared" ref="O564:O568" ca="1" si="122">+IF(L564&gt;0,N564*100/L564,0)</f>
        <v>83.111397058823513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IFERROR(__xludf.DUMMYFUNCTION("IMPORTRANGE(""https://docs.google.com/spreadsheets/d/1XL5vhW3sbDhbH9Cz0tuDiY8C3ctxq1tqvaCgkFb8cCA/edit?usp=sharing"",""สุรินทร์!M461"")"),135637.8)</f>
        <v>135637.79999999999</v>
      </c>
      <c r="O566" s="169">
        <f t="shared" ca="1" si="122"/>
        <v>83.111397058823513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IFERROR(__xludf.DUMMYFUNCTION("IMPORTRANGE(""https://docs.google.com/spreadsheets/d/1XL5vhW3sbDhbH9Cz0tuDiY8C3ctxq1tqvaCgkFb8cCA/edit?usp=sharing"",""สุรินทร์!M463"")"),135637.8)</f>
        <v>135637.79999999999</v>
      </c>
      <c r="O568" s="169">
        <f t="shared" ca="1" si="122"/>
        <v>83.111397058823513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IFERROR(__xludf.DUMMYFUNCTION("IMPORTRANGE(""https://docs.google.com/spreadsheets/d/1XL5vhW3sbDhbH9Cz0tuDiY8C3ctxq1tqvaCgkFb8cCA/edit?usp=sharing"",""สุรินทร์!M466"")"),84451)</f>
        <v>84451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IFERROR(__xludf.DUMMYFUNCTION("IMPORTRANGE(""https://docs.google.com/spreadsheets/d/1XL5vhW3sbDhbH9Cz0tuDiY8C3ctxq1tqvaCgkFb8cCA/edit?usp=sharing"",""สุรินทร์!M467"")"),51186.8)</f>
        <v>51186.8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IFERROR(__xludf.DUMMYFUNCTION("IMPORTRANGE(""https://docs.google.com/spreadsheets/d/1XL5vhW3sbDhbH9Cz0tuDiY8C3ctxq1tqvaCgkFb8cCA/edit?usp=sharing"",""สุรินทร์!J468"")"),6321)</f>
        <v>6321</v>
      </c>
      <c r="K573" s="202">
        <f ca="1">IF(I573&gt;0,J573*100/I573,0)</f>
        <v>114.92727272727272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IFERROR(__xludf.DUMMYFUNCTION("IMPORTRANGE(""https://docs.google.com/spreadsheets/d/1XL5vhW3sbDhbH9Cz0tuDiY8C3ctxq1tqvaCgkFb8cCA/edit?usp=sharing"",""สุรินทร์!J471"")"),1449)</f>
        <v>1449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IFERROR(__xludf.DUMMYFUNCTION("IMPORTRANGE(""https://docs.google.com/spreadsheets/d/1XL5vhW3sbDhbH9Cz0tuDiY8C3ctxq1tqvaCgkFb8cCA/edit?usp=sharing"",""สุรินทร์!J472"")"),4872)</f>
        <v>4872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IFERROR(__xludf.DUMMYFUNCTION("IMPORTRANGE(""https://docs.google.com/spreadsheets/d/1XL5vhW3sbDhbH9Cz0tuDiY8C3ctxq1tqvaCgkFb8cCA/edit?usp=sharing"",""สุรินทร์!J475"")"),4)</f>
        <v>4</v>
      </c>
      <c r="K580" s="372">
        <f ca="1">IF(I580&gt;0,J580*100/I580,0)</f>
        <v>4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IFERROR(__xludf.DUMMYFUNCTION("IMPORTRANGE(""https://docs.google.com/spreadsheets/d/1XL5vhW3sbDhbH9Cz0tuDiY8C3ctxq1tqvaCgkFb8cCA/edit?usp=sharing"",""สุรินทร์!M475"")"),134445)</f>
        <v>134445</v>
      </c>
      <c r="O580" s="373">
        <f t="shared" ref="O580:O584" ca="1" si="124">+IF(L580&gt;0,N580*100/L580,0)</f>
        <v>41.805037313432834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IFERROR(__xludf.DUMMYFUNCTION("IMPORTRANGE(""https://docs.google.com/spreadsheets/d/1XL5vhW3sbDhbH9Cz0tuDiY8C3ctxq1tqvaCgkFb8cCA/edit?usp=sharing"",""สุรินทร์!M477"")"),134445)</f>
        <v>134445</v>
      </c>
      <c r="O582" s="169">
        <f t="shared" ca="1" si="124"/>
        <v>41.805037313432834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IFERROR(__xludf.DUMMYFUNCTION("IMPORTRANGE(""https://docs.google.com/spreadsheets/d/1XL5vhW3sbDhbH9Cz0tuDiY8C3ctxq1tqvaCgkFb8cCA/edit?usp=sharing"",""สุรินทร์!M479"")"),134445)</f>
        <v>134445</v>
      </c>
      <c r="O584" s="169">
        <f t="shared" ca="1" si="124"/>
        <v>41.805037313432834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IFERROR(__xludf.DUMMYFUNCTION("IMPORTRANGE(""https://docs.google.com/spreadsheets/d/1XL5vhW3sbDhbH9Cz0tuDiY8C3ctxq1tqvaCgkFb8cCA/edit?usp=sharing"",""สุรินทร์!M482"")"),86935)</f>
        <v>86935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IFERROR(__xludf.DUMMYFUNCTION("IMPORTRANGE(""https://docs.google.com/spreadsheets/d/1XL5vhW3sbDhbH9Cz0tuDiY8C3ctxq1tqvaCgkFb8cCA/edit?usp=sharing"",""สุรินทร์!M483"")"),47510)</f>
        <v>47510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IFERROR(__xludf.DUMMYFUNCTION("IMPORTRANGE(""https://docs.google.com/spreadsheets/d/1XL5vhW3sbDhbH9Cz0tuDiY8C3ctxq1tqvaCgkFb8cCA/edit?usp=sharing"",""สุรินทร์!J484"")"),68)</f>
        <v>68</v>
      </c>
      <c r="K589" s="163">
        <f t="shared" ref="K589:K596" ca="1" si="125">IF(I589&gt;0,J589*100/I589,0)</f>
        <v>68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IFERROR(__xludf.DUMMYFUNCTION("IMPORTRANGE(""https://docs.google.com/spreadsheets/d/1XL5vhW3sbDhbH9Cz0tuDiY8C3ctxq1tqvaCgkFb8cCA/edit?usp=sharing"",""สุรินทร์!J485"")"),70.56)</f>
        <v>70.56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IFERROR(__xludf.DUMMYFUNCTION("IMPORTRANGE(""https://docs.google.com/spreadsheets/d/1XL5vhW3sbDhbH9Cz0tuDiY8C3ctxq1tqvaCgkFb8cCA/edit?usp=sharing"",""สุรินทร์!J486"")"),16)</f>
        <v>16</v>
      </c>
      <c r="K591" s="163">
        <f t="shared" ca="1" si="125"/>
        <v>16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IFERROR(__xludf.DUMMYFUNCTION("IMPORTRANGE(""https://docs.google.com/spreadsheets/d/1XL5vhW3sbDhbH9Cz0tuDiY8C3ctxq1tqvaCgkFb8cCA/edit?usp=sharing"",""สุรินทร์!J487"")"),20.39)</f>
        <v>20.39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IFERROR(__xludf.DUMMYFUNCTION("IMPORTRANGE(""https://docs.google.com/spreadsheets/d/1XL5vhW3sbDhbH9Cz0tuDiY8C3ctxq1tqvaCgkFb8cCA/edit?usp=sharing"",""สุรินทร์!J488"")"),1)</f>
        <v>1</v>
      </c>
      <c r="K593" s="163">
        <f t="shared" ca="1" si="125"/>
        <v>1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IFERROR(__xludf.DUMMYFUNCTION("IMPORTRANGE(""https://docs.google.com/spreadsheets/d/1XL5vhW3sbDhbH9Cz0tuDiY8C3ctxq1tqvaCgkFb8cCA/edit?usp=sharing"",""สุรินทร์!J489"")"),0.35)</f>
        <v>0.35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IFERROR(__xludf.DUMMYFUNCTION("IMPORTRANGE(""https://docs.google.com/spreadsheets/d/1XL5vhW3sbDhbH9Cz0tuDiY8C3ctxq1tqvaCgkFb8cCA/edit?usp=sharing"",""สุรินทร์!J490"")"),4)</f>
        <v>4</v>
      </c>
      <c r="K595" s="163">
        <f t="shared" ca="1" si="125"/>
        <v>4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IFERROR(__xludf.DUMMYFUNCTION("IMPORTRANGE(""https://docs.google.com/spreadsheets/d/1XL5vhW3sbDhbH9Cz0tuDiY8C3ctxq1tqvaCgkFb8cCA/edit?usp=sharing"",""สุรินทร์!J491"")"),6.47)</f>
        <v>6.47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IFERROR(__xludf.DUMMYFUNCTION("IMPORTRANGE(""https://docs.google.com/spreadsheets/d/1XL5vhW3sbDhbH9Cz0tuDiY8C3ctxq1tqvaCgkFb8cCA/edit?usp=sharing"",""สุรินทร์!M492"")"),9415)</f>
        <v>9415</v>
      </c>
      <c r="O597" s="412">
        <f t="shared" ref="O597:O601" ca="1" si="126">+IF(L597&gt;0,N597*100/L597,0)</f>
        <v>43.587962962962962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IFERROR(__xludf.DUMMYFUNCTION("IMPORTRANGE(""https://docs.google.com/spreadsheets/d/1XL5vhW3sbDhbH9Cz0tuDiY8C3ctxq1tqvaCgkFb8cCA/edit?usp=sharing"",""สุรินทร์!M494"")"),9415)</f>
        <v>9415</v>
      </c>
      <c r="O599" s="169">
        <f t="shared" ca="1" si="126"/>
        <v>43.587962962962962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IFERROR(__xludf.DUMMYFUNCTION("IMPORTRANGE(""https://docs.google.com/spreadsheets/d/1XL5vhW3sbDhbH9Cz0tuDiY8C3ctxq1tqvaCgkFb8cCA/edit?usp=sharing"",""สุรินทร์!M496"")"),9415)</f>
        <v>9415</v>
      </c>
      <c r="O601" s="169">
        <f t="shared" ca="1" si="126"/>
        <v>43.587962962962962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IFERROR(__xludf.DUMMYFUNCTION("IMPORTRANGE(""https://docs.google.com/spreadsheets/d/1XL5vhW3sbDhbH9Cz0tuDiY8C3ctxq1tqvaCgkFb8cCA/edit?usp=sharing"",""สุรินทร์!M500"")"),9415)</f>
        <v>9415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IFERROR(__xludf.DUMMYFUNCTION("IMPORTRANGE(""https://docs.google.com/spreadsheets/d/1XL5vhW3sbDhbH9Cz0tuDiY8C3ctxq1tqvaCgkFb8cCA/edit?usp=sharing"",""สุรินทร์!J166"")"),0)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IFERROR(__xludf.DUMMYFUNCTION("IMPORTRANGE(""https://docs.google.com/spreadsheets/d/1XL5vhW3sbDhbH9Cz0tuDiY8C3ctxq1tqvaCgkFb8cCA/edit?usp=sharing"",""สุรินทร์!J166"")"),0)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IFERROR(__xludf.DUMMYFUNCTION("IMPORTRANGE(""https://docs.google.com/spreadsheets/d/1XL5vhW3sbDhbH9Cz0tuDiY8C3ctxq1tqvaCgkFb8cCA/edit?usp=sharing"",""สุรินทร์!J523"")"),4547140.96)</f>
        <v>4547140.96</v>
      </c>
      <c r="K628" s="343">
        <f t="shared" ref="K628:K635" ca="1" si="129">IF(I628&gt;0,J628*100/I628,0)</f>
        <v>80.558267253360228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IFERROR(__xludf.DUMMYFUNCTION("IMPORTRANGE(""https://docs.google.com/spreadsheets/d/1XL5vhW3sbDhbH9Cz0tuDiY8C3ctxq1tqvaCgkFb8cCA/edit?usp=sharing"",""สุรินทร์!J524"")"),232)</f>
        <v>232</v>
      </c>
      <c r="K629" s="343">
        <f t="shared" ca="1" si="129"/>
        <v>73.650793650793645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IFERROR(__xludf.DUMMYFUNCTION("IMPORTRANGE(""https://docs.google.com/spreadsheets/d/1XL5vhW3sbDhbH9Cz0tuDiY8C3ctxq1tqvaCgkFb8cCA/edit?usp=sharing"",""สุรินทร์!J525"")"),648225.96)</f>
        <v>648225.96</v>
      </c>
      <c r="K630" s="343">
        <f t="shared" ca="1" si="129"/>
        <v>9.6951634247440257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IFERROR(__xludf.DUMMYFUNCTION("IMPORTRANGE(""https://docs.google.com/spreadsheets/d/1XL5vhW3sbDhbH9Cz0tuDiY8C3ctxq1tqvaCgkFb8cCA/edit?usp=sharing"",""สุรินทร์!J526"")"),157)</f>
        <v>157</v>
      </c>
      <c r="K631" s="343">
        <f t="shared" ca="1" si="129"/>
        <v>37.38095238095238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IFERROR(__xludf.DUMMYFUNCTION("IMPORTRANGE(""https://docs.google.com/spreadsheets/d/1XL5vhW3sbDhbH9Cz0tuDiY8C3ctxq1tqvaCgkFb8cCA/edit?usp=sharing"",""สุรินทร์!I529"")"),6000000)</f>
        <v>6000000</v>
      </c>
      <c r="J634" s="342">
        <f ca="1">IFERROR(__xludf.DUMMYFUNCTION("IMPORTRANGE(""https://docs.google.com/spreadsheets/d/1XL5vhW3sbDhbH9Cz0tuDiY8C3ctxq1tqvaCgkFb8cCA/edit?usp=sharing"",""สุรินทร์!J529"")"),3655000)</f>
        <v>3655000</v>
      </c>
      <c r="K634" s="343">
        <f t="shared" ca="1" si="129"/>
        <v>60.916666666666664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IFERROR(__xludf.DUMMYFUNCTION("IMPORTRANGE(""https://docs.google.com/spreadsheets/d/1XL5vhW3sbDhbH9Cz0tuDiY8C3ctxq1tqvaCgkFb8cCA/edit?usp=sharing"",""สุรินทร์!I530"")"),310)</f>
        <v>310</v>
      </c>
      <c r="J635" s="504">
        <f ca="1">IFERROR(__xludf.DUMMYFUNCTION("IMPORTRANGE(""https://docs.google.com/spreadsheets/d/1XL5vhW3sbDhbH9Cz0tuDiY8C3ctxq1tqvaCgkFb8cCA/edit?usp=sharing"",""สุรินทร์!J530"")"),161)</f>
        <v>161</v>
      </c>
      <c r="K635" s="486">
        <f t="shared" ca="1" si="129"/>
        <v>51.935483870967744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IFERROR(__xludf.DUMMYFUNCTION("IMPORTRANGE(""https://docs.google.com/spreadsheets/d/1XL5vhW3sbDhbH9Cz0tuDiY8C3ctxq1tqvaCgkFb8cCA/edit#gid=346597447"",""สุรินทร์!J541"")"),0)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IFERROR(__xludf.DUMMYFUNCTION("IMPORTRANGE(""https://docs.google.com/spreadsheets/d/1XL5vhW3sbDhbH9Cz0tuDiY8C3ctxq1tqvaCgkFb8cCA/edit#gid=346597447"",""สุรินทร์!J542"")"),0)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IFERROR(__xludf.DUMMYFUNCTION("IMPORTRANGE(""https://docs.google.com/spreadsheets/d/1XL5vhW3sbDhbH9Cz0tuDiY8C3ctxq1tqvaCgkFb8cCA/edit#gid=346597447"",""สุรินทร์!I543"")"),0)</f>
        <v>0</v>
      </c>
      <c r="J648" s="585">
        <f ca="1">IFERROR(__xludf.DUMMYFUNCTION("IMPORTRANGE(""https://docs.google.com/spreadsheets/d/1XL5vhW3sbDhbH9Cz0tuDiY8C3ctxq1tqvaCgkFb8cCA/edit#gid=346597447"",""สุรินทร์!J543"")"),0)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IFERROR(__xludf.DUMMYFUNCTION("IMPORTRANGE(""https://docs.google.com/spreadsheets/d/1XL5vhW3sbDhbH9Cz0tuDiY8C3ctxq1tqvaCgkFb8cCA/edit#gid=346597447"",""สุรินทร์!L543"")"),0)</f>
        <v>0</v>
      </c>
      <c r="M648" s="570"/>
      <c r="N648" s="587">
        <f ca="1">IFERROR(__xludf.DUMMYFUNCTION("IMPORTRANGE(""https://docs.google.com/spreadsheets/d/1XL5vhW3sbDhbH9Cz0tuDiY8C3ctxq1tqvaCgkFb8cCA/edit#gid=346597447"",""สุรินทร์!M543"")"),0)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IFERROR(__xludf.DUMMYFUNCTION("IMPORTRANGE(""https://docs.google.com/spreadsheets/d/1XL5vhW3sbDhbH9Cz0tuDiY8C3ctxq1tqvaCgkFb8cCA/edit#gid=346597447"",""สุรินทร์!I544"")"),0)</f>
        <v>0</v>
      </c>
      <c r="J649" s="585">
        <f ca="1">IFERROR(__xludf.DUMMYFUNCTION("IMPORTRANGE(""https://docs.google.com/spreadsheets/d/1XL5vhW3sbDhbH9Cz0tuDiY8C3ctxq1tqvaCgkFb8cCA/edit#gid=346597447"",""สุรินทร์!J544"")"),0)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IFERROR(__xludf.DUMMYFUNCTION("IMPORTRANGE(""https://docs.google.com/spreadsheets/d/1XL5vhW3sbDhbH9Cz0tuDiY8C3ctxq1tqvaCgkFb8cCA/edit#gid=346597447"",""สุรินทร์!L544"")"),0)</f>
        <v>0</v>
      </c>
      <c r="M649" s="570"/>
      <c r="N649" s="587">
        <f ca="1">IFERROR(__xludf.DUMMYFUNCTION("IMPORTRANGE(""https://docs.google.com/spreadsheets/d/1XL5vhW3sbDhbH9Cz0tuDiY8C3ctxq1tqvaCgkFb8cCA/edit#gid=346597447"",""สุรินทร์!M544"")"),0)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IFERROR(__xludf.DUMMYFUNCTION("IMPORTRANGE(""https://docs.google.com/spreadsheets/d/1XL5vhW3sbDhbH9Cz0tuDiY8C3ctxq1tqvaCgkFb8cCA/edit#gid=346597447"",""สุรินทร์!I545"")"),0)</f>
        <v>0</v>
      </c>
      <c r="J650" s="585">
        <f ca="1">IFERROR(__xludf.DUMMYFUNCTION("IMPORTRANGE(""https://docs.google.com/spreadsheets/d/1XL5vhW3sbDhbH9Cz0tuDiY8C3ctxq1tqvaCgkFb8cCA/edit#gid=346597447"",""สุรินทร์!J545"")"),0)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IFERROR(__xludf.DUMMYFUNCTION("IMPORTRANGE(""https://docs.google.com/spreadsheets/d/1XL5vhW3sbDhbH9Cz0tuDiY8C3ctxq1tqvaCgkFb8cCA/edit#gid=346597447"",""สุรินทร์!L545"")"),0)</f>
        <v>0</v>
      </c>
      <c r="M650" s="570"/>
      <c r="N650" s="587">
        <f ca="1">IFERROR(__xludf.DUMMYFUNCTION("IMPORTRANGE(""https://docs.google.com/spreadsheets/d/1XL5vhW3sbDhbH9Cz0tuDiY8C3ctxq1tqvaCgkFb8cCA/edit#gid=346597447"",""สุรินทร์!M545"")"),0)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IFERROR(__xludf.DUMMYFUNCTION("IMPORTRANGE(""https://docs.google.com/spreadsheets/d/1XL5vhW3sbDhbH9Cz0tuDiY8C3ctxq1tqvaCgkFb8cCA/edit#gid=346597447"",""สุรินทร์!I546"")"),0)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IFERROR(__xludf.DUMMYFUNCTION("IMPORTRANGE(""https://docs.google.com/spreadsheets/d/1XL5vhW3sbDhbH9Cz0tuDiY8C3ctxq1tqvaCgkFb8cCA/edit#gid=346597447"",""สุรินทร์!L546"")"),0)</f>
        <v>0</v>
      </c>
      <c r="M651" s="570"/>
      <c r="N651" s="587">
        <f ca="1">IFERROR(__xludf.DUMMYFUNCTION("IMPORTRANGE(""https://docs.google.com/spreadsheets/d/1XL5vhW3sbDhbH9Cz0tuDiY8C3ctxq1tqvaCgkFb8cCA/edit#gid=346597447"",""สุรินทร์!M546"")"),0)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IFERROR(__xludf.DUMMYFUNCTION("IMPORTRANGE(""https://docs.google.com/spreadsheets/d/1XL5vhW3sbDhbH9Cz0tuDiY8C3ctxq1tqvaCgkFb8cCA/edit#gid=346597447"",""สุรินทร์!J547"")"),0)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IFERROR(__xludf.DUMMYFUNCTION("IMPORTRANGE(""https://docs.google.com/spreadsheets/d/1XL5vhW3sbDhbH9Cz0tuDiY8C3ctxq1tqvaCgkFb8cCA/edit#gid=346597447"",""สุรินทร์!J548"")"),0)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IFERROR(__xludf.DUMMYFUNCTION("IMPORTRANGE(""https://docs.google.com/spreadsheets/d/1XL5vhW3sbDhbH9Cz0tuDiY8C3ctxq1tqvaCgkFb8cCA/edit#gid=346597447"",""สุรินทร์!J550"")"),0)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IFERROR(__xludf.DUMMYFUNCTION("IMPORTRANGE(""https://docs.google.com/spreadsheets/d/1XL5vhW3sbDhbH9Cz0tuDiY8C3ctxq1tqvaCgkFb8cCA/edit#gid=346597447"",""สุรินทร์!J551"")"),0)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IFERROR(__xludf.DUMMYFUNCTION("IMPORTRANGE(""https://docs.google.com/spreadsheets/d/1XL5vhW3sbDhbH9Cz0tuDiY8C3ctxq1tqvaCgkFb8cCA/edit#gid=346597447"",""สุรินทร์!J552"")"),0)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IFERROR(__xludf.DUMMYFUNCTION("IMPORTRANGE(""https://docs.google.com/spreadsheets/d/1XL5vhW3sbDhbH9Cz0tuDiY8C3ctxq1tqvaCgkFb8cCA/edit#gid=346597447"",""สุรินทร์!J553"")"),0)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IFERROR(__xludf.DUMMYFUNCTION("IMPORTRANGE(""https://docs.google.com/spreadsheets/d/1XL5vhW3sbDhbH9Cz0tuDiY8C3ctxq1tqvaCgkFb8cCA/edit#gid=346597447"",""สุรินทร์!J554"")"),0)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IFERROR(__xludf.DUMMYFUNCTION("IMPORTRANGE(""https://docs.google.com/spreadsheets/d/1XL5vhW3sbDhbH9Cz0tuDiY8C3ctxq1tqvaCgkFb8cCA/edit#gid=346597447"",""สุรินทร์!J555"")"),0)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IFERROR(__xludf.DUMMYFUNCTION("IMPORTRANGE(""https://docs.google.com/spreadsheets/d/1XL5vhW3sbDhbH9Cz0tuDiY8C3ctxq1tqvaCgkFb8cCA/edit#gid=346597447"",""สุรินทร์!J556"")"),0)</f>
        <v>0</v>
      </c>
      <c r="K661" s="586"/>
      <c r="L661" s="571">
        <f ca="1">IFERROR(__xludf.DUMMYFUNCTION("IMPORTRANGE(""https://docs.google.com/spreadsheets/d/1XL5vhW3sbDhbH9Cz0tuDiY8C3ctxq1tqvaCgkFb8cCA/edit#gid=346597447"",""สุรินทร์!L556"")"),0)</f>
        <v>0</v>
      </c>
      <c r="M661" s="570"/>
      <c r="N661" s="587">
        <f ca="1">IFERROR(__xludf.DUMMYFUNCTION("IMPORTRANGE(""https://docs.google.com/spreadsheets/d/1XL5vhW3sbDhbH9Cz0tuDiY8C3ctxq1tqvaCgkFb8cCA/edit#gid=346597447"",""สุรินทร์!M556"")"),0)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IFERROR(__xludf.DUMMYFUNCTION("IMPORTRANGE(""https://docs.google.com/spreadsheets/d/1XL5vhW3sbDhbH9Cz0tuDiY8C3ctxq1tqvaCgkFb8cCA/edit#gid=346597447"",""สุรินทร์!J557"")"),0)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IFERROR(__xludf.DUMMYFUNCTION("IMPORTRANGE(""https://docs.google.com/spreadsheets/d/1XL5vhW3sbDhbH9Cz0tuDiY8C3ctxq1tqvaCgkFb8cCA/edit#gid=346597447"",""สุรินทร์!I558"")"),0)</f>
        <v>0</v>
      </c>
      <c r="J663" s="585">
        <f ca="1">IFERROR(__xludf.DUMMYFUNCTION("IMPORTRANGE(""https://docs.google.com/spreadsheets/d/1XL5vhW3sbDhbH9Cz0tuDiY8C3ctxq1tqvaCgkFb8cCA/edit#gid=346597447"",""สุรินทร์!J558"")"),0)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IFERROR(__xludf.DUMMYFUNCTION("IMPORTRANGE(""https://docs.google.com/spreadsheets/d/1XL5vhW3sbDhbH9Cz0tuDiY8C3ctxq1tqvaCgkFb8cCA/edit#gid=346597447"",""สุรินทร์!I560"")"),0)</f>
        <v>0</v>
      </c>
      <c r="J665" s="585">
        <f ca="1">IFERROR(__xludf.DUMMYFUNCTION("IMPORTRANGE(""https://docs.google.com/spreadsheets/d/1XL5vhW3sbDhbH9Cz0tuDiY8C3ctxq1tqvaCgkFb8cCA/edit#gid=346597447"",""สุรินทร์!J560"")"),0)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IFERROR(__xludf.DUMMYFUNCTION("IMPORTRANGE(""https://docs.google.com/spreadsheets/d/1XL5vhW3sbDhbH9Cz0tuDiY8C3ctxq1tqvaCgkFb8cCA/edit#gid=346597447"",""สุรินทร์!L560"")"),0)</f>
        <v>0</v>
      </c>
      <c r="M665" s="570"/>
      <c r="N665" s="587">
        <f ca="1">IFERROR(__xludf.DUMMYFUNCTION("IMPORTRANGE(""https://docs.google.com/spreadsheets/d/1XL5vhW3sbDhbH9Cz0tuDiY8C3ctxq1tqvaCgkFb8cCA/edit#gid=346597447"",""สุรินทร์!M560"")"),0)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IFERROR(__xludf.DUMMYFUNCTION("IMPORTRANGE(""https://docs.google.com/spreadsheets/d/1XL5vhW3sbDhbH9Cz0tuDiY8C3ctxq1tqvaCgkFb8cCA/edit#gid=346597447"",""สุรินทร์!J561"")"),0)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IFERROR(__xludf.DUMMYFUNCTION("IMPORTRANGE(""https://docs.google.com/spreadsheets/d/1XL5vhW3sbDhbH9Cz0tuDiY8C3ctxq1tqvaCgkFb8cCA/edit#gid=346597447"",""สุรินทร์!J562"")"),0)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IFERROR(__xludf.DUMMYFUNCTION("IMPORTRANGE(""https://docs.google.com/spreadsheets/d/1XL5vhW3sbDhbH9Cz0tuDiY8C3ctxq1tqvaCgkFb8cCA/edit#gid=346597447"",""สุรินทร์!I563"")"),0)</f>
        <v>0</v>
      </c>
      <c r="J668" s="585">
        <f ca="1">IFERROR(__xludf.DUMMYFUNCTION("IMPORTRANGE(""https://docs.google.com/spreadsheets/d/1XL5vhW3sbDhbH9Cz0tuDiY8C3ctxq1tqvaCgkFb8cCA/edit#gid=346597447"",""สุรินทร์!J563"")"),0)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IFERROR(__xludf.DUMMYFUNCTION("IMPORTRANGE(""https://docs.google.com/spreadsheets/d/1XL5vhW3sbDhbH9Cz0tuDiY8C3ctxq1tqvaCgkFb8cCA/edit#gid=346597447"",""สุรินทร์!L563"")"),0)</f>
        <v>0</v>
      </c>
      <c r="M668" s="570"/>
      <c r="N668" s="587">
        <f ca="1">IFERROR(__xludf.DUMMYFUNCTION("IMPORTRANGE(""https://docs.google.com/spreadsheets/d/1XL5vhW3sbDhbH9Cz0tuDiY8C3ctxq1tqvaCgkFb8cCA/edit#gid=346597447"",""สุรินทร์!M563"")"),0)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IFERROR(__xludf.DUMMYFUNCTION("IMPORTRANGE(""https://docs.google.com/spreadsheets/d/1XL5vhW3sbDhbH9Cz0tuDiY8C3ctxq1tqvaCgkFb8cCA/edit#gid=346597447"",""สุรินทร์!J564"")"),0)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IFERROR(__xludf.DUMMYFUNCTION("IMPORTRANGE(""https://docs.google.com/spreadsheets/d/1XL5vhW3sbDhbH9Cz0tuDiY8C3ctxq1tqvaCgkFb8cCA/edit#gid=346597447"",""สุรินทร์!J565"")"),0)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IFERROR(__xludf.DUMMYFUNCTION("IMPORTRANGE(""https://docs.google.com/spreadsheets/d/1XL5vhW3sbDhbH9Cz0tuDiY8C3ctxq1tqvaCgkFb8cCA/edit#gid=346597447"",""สุรินทร์!I566"")"),0)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IFERROR(__xludf.DUMMYFUNCTION("IMPORTRANGE(""https://docs.google.com/spreadsheets/d/1XL5vhW3sbDhbH9Cz0tuDiY8C3ctxq1tqvaCgkFb8cCA/edit#gid=346597447"",""สุรินทร์!L566"")"),0)</f>
        <v>0</v>
      </c>
      <c r="M671" s="570"/>
      <c r="N671" s="587">
        <f ca="1">IFERROR(__xludf.DUMMYFUNCTION("IMPORTRANGE(""https://docs.google.com/spreadsheets/d/1XL5vhW3sbDhbH9Cz0tuDiY8C3ctxq1tqvaCgkFb8cCA/edit#gid=346597447"",""สุรินทร์!M566"")"),0)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IFERROR(__xludf.DUMMYFUNCTION("IMPORTRANGE(""https://docs.google.com/spreadsheets/d/1XL5vhW3sbDhbH9Cz0tuDiY8C3ctxq1tqvaCgkFb8cCA/edit#gid=346597447"",""สุรินทร์!J567"")"),0)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IFERROR(__xludf.DUMMYFUNCTION("IMPORTRANGE(""https://docs.google.com/spreadsheets/d/1XL5vhW3sbDhbH9Cz0tuDiY8C3ctxq1tqvaCgkFb8cCA/edit#gid=346597447"",""สุรินทร์!J568"")"),0)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IFERROR(__xludf.DUMMYFUNCTION("IMPORTRANGE(""https://docs.google.com/spreadsheets/d/1XL5vhW3sbDhbH9Cz0tuDiY8C3ctxq1tqvaCgkFb8cCA/edit#gid=346597447"",""สุรินทร์!J569"")"),0)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IFERROR(__xludf.DUMMYFUNCTION("IMPORTRANGE(""https://docs.google.com/spreadsheets/d/1XL5vhW3sbDhbH9Cz0tuDiY8C3ctxq1tqvaCgkFb8cCA/edit#gid=346597447"",""สุรินทร์!J570"")"),0)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IFERROR(__xludf.DUMMYFUNCTION("IMPORTRANGE(""https://docs.google.com/spreadsheets/d/1XL5vhW3sbDhbH9Cz0tuDiY8C3ctxq1tqvaCgkFb8cCA/edit#gid=346597447"",""สุรินทร์!J571"")"),0)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IFERROR(__xludf.DUMMYFUNCTION("IMPORTRANGE(""https://docs.google.com/spreadsheets/d/1XL5vhW3sbDhbH9Cz0tuDiY8C3ctxq1tqvaCgkFb8cCA/edit#gid=346597447"",""สุรินทร์!J572"")"),0)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278:E278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73:E73"/>
    <mergeCell ref="D94:G94"/>
    <mergeCell ref="D97:F97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6731151</v>
      </c>
      <c r="M8" s="23">
        <f t="shared" ca="1" si="0"/>
        <v>3455169.84</v>
      </c>
      <c r="N8" s="23">
        <f t="shared" ca="1" si="0"/>
        <v>4263643.5199999996</v>
      </c>
      <c r="O8" s="22">
        <f t="shared" ref="O8:O16" ca="1" si="1">IF(L8&gt;0,N8*100/L8,0)</f>
        <v>63.341968112140101</v>
      </c>
      <c r="P8" s="22">
        <f t="shared" ref="P8:P16" ca="1" si="2">IF(M8&gt;0,N8*100/M8,0)</f>
        <v>123.39895627243608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6731151</v>
      </c>
      <c r="M10" s="30">
        <f t="shared" ca="1" si="4"/>
        <v>3455169.84</v>
      </c>
      <c r="N10" s="30">
        <f t="shared" ca="1" si="4"/>
        <v>4263643.5199999996</v>
      </c>
      <c r="O10" s="29">
        <f t="shared" ca="1" si="1"/>
        <v>63.341968112140101</v>
      </c>
      <c r="P10" s="29">
        <f t="shared" ca="1" si="2"/>
        <v>123.39895627243608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6264351</v>
      </c>
      <c r="M12" s="38">
        <f t="shared" ca="1" si="6"/>
        <v>2988369.84</v>
      </c>
      <c r="N12" s="38">
        <f t="shared" ca="1" si="6"/>
        <v>3796843.52</v>
      </c>
      <c r="O12" s="38">
        <f t="shared" ca="1" si="1"/>
        <v>60.610325315423736</v>
      </c>
      <c r="P12" s="38">
        <f t="shared" ca="1" si="2"/>
        <v>127.05400346297165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4012951</v>
      </c>
      <c r="M14" s="38">
        <f t="shared" si="8"/>
        <v>0</v>
      </c>
      <c r="N14" s="38">
        <f t="shared" ca="1" si="8"/>
        <v>1190148.29</v>
      </c>
      <c r="O14" s="38">
        <f t="shared" ca="1" si="1"/>
        <v>29.657683086586406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3455169.84</v>
      </c>
      <c r="N18" s="23">
        <f t="shared" ca="1" si="11"/>
        <v>3073495.23</v>
      </c>
      <c r="O18" s="22">
        <f t="shared" ref="O18:O20" ca="1" si="12">IF(L18&gt;0,N18*100/L18,0)</f>
        <v>71.859409949977731</v>
      </c>
      <c r="P18" s="22">
        <f t="shared" ref="P18:P26" ca="1" si="13">IF(M18&gt;0,N18*100/M18,0)</f>
        <v>88.953521022862375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3455169.84</v>
      </c>
      <c r="N20" s="30">
        <f t="shared" ca="1" si="15"/>
        <v>3073495.23</v>
      </c>
      <c r="O20" s="29">
        <f t="shared" ca="1" si="12"/>
        <v>71.859409949977731</v>
      </c>
      <c r="P20" s="29">
        <f t="shared" ca="1" si="13"/>
        <v>88.953521022862375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2988369.84</v>
      </c>
      <c r="N22" s="38">
        <f t="shared" ca="1" si="18"/>
        <v>2606695.23</v>
      </c>
      <c r="O22" s="38">
        <f t="shared" ca="1" si="17"/>
        <v>68.411900653361485</v>
      </c>
      <c r="P22" s="38">
        <f t="shared" ca="1" si="13"/>
        <v>87.227999530339261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2454056</v>
      </c>
      <c r="M28" s="23">
        <f t="shared" si="23"/>
        <v>0</v>
      </c>
      <c r="N28" s="23">
        <f t="shared" ca="1" si="23"/>
        <v>1190148.29</v>
      </c>
      <c r="O28" s="22">
        <f t="shared" ref="O28:O30" ca="1" si="24">IF(L28&gt;0,N28*100/L28,0)</f>
        <v>48.497193625573338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2454056</v>
      </c>
      <c r="M30" s="30">
        <f t="shared" si="27"/>
        <v>0</v>
      </c>
      <c r="N30" s="30">
        <f t="shared" ca="1" si="27"/>
        <v>1190148.29</v>
      </c>
      <c r="O30" s="29">
        <f t="shared" ca="1" si="24"/>
        <v>48.497193625573338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2454056</v>
      </c>
      <c r="M32" s="38">
        <f t="shared" si="30"/>
        <v>0</v>
      </c>
      <c r="N32" s="38">
        <f t="shared" ca="1" si="30"/>
        <v>1190148.29</v>
      </c>
      <c r="O32" s="38">
        <f t="shared" ca="1" si="29"/>
        <v>48.497193625573338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2454056</v>
      </c>
      <c r="M34" s="38">
        <f t="shared" si="32"/>
        <v>0</v>
      </c>
      <c r="N34" s="38">
        <f t="shared" ca="1" si="32"/>
        <v>1190148.29</v>
      </c>
      <c r="O34" s="38">
        <f t="shared" ca="1" si="29"/>
        <v>48.497193625573338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3455169.84</v>
      </c>
      <c r="N37" s="54">
        <f t="shared" ca="1" si="33"/>
        <v>3073495.23</v>
      </c>
      <c r="O37" s="55">
        <f t="shared" ca="1" si="29"/>
        <v>71.859409949977731</v>
      </c>
      <c r="P37" s="55">
        <f t="shared" ca="1" si="25"/>
        <v>88.953521022862375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726800</v>
      </c>
      <c r="N41" s="78">
        <f t="shared" ca="1" si="34"/>
        <v>641921.87</v>
      </c>
      <c r="O41" s="77">
        <f t="shared" ref="O41:O43" ca="1" si="35">IF(L41&gt;0,N41*100/L41,0)</f>
        <v>68.500893181090603</v>
      </c>
      <c r="P41" s="77">
        <f t="shared" ref="P41:P43" ca="1" si="36">IF(M41&gt;0,N41*100/M41,0)</f>
        <v>88.321666208035225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726800</v>
      </c>
      <c r="N43" s="78">
        <f t="shared" ca="1" si="38"/>
        <v>641921.87</v>
      </c>
      <c r="O43" s="77">
        <f t="shared" ca="1" si="35"/>
        <v>68.500893181090603</v>
      </c>
      <c r="P43" s="77">
        <f t="shared" ca="1" si="36"/>
        <v>88.321666208035225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622">
        <f ca="1">IFERROR(__xludf.DUMMYFUNCTION("IMPORTRANGE(""https://docs.google.com/spreadsheets/d/1Yj_ptqi66GCucihVvJfMjLAmec39IyEx_6qawtMGysU/edit?usp=sharing"",""สบก!Q53"")"),630800)</f>
        <v>630800</v>
      </c>
      <c r="N45" s="622">
        <f ca="1">IFERROR(__xludf.DUMMYFUNCTION("IMPORTRANGE(""https://docs.google.com/spreadsheets/d/1Yj_ptqi66GCucihVvJfMjLAmec39IyEx_6qawtMGysU/edit?usp=sharing"",""สบก!R53"")"),545921.87)</f>
        <v>545921.87</v>
      </c>
      <c r="O45" s="623">
        <f ca="1">IF(L45&gt;0,N45*100/L45,0)</f>
        <v>64.905703245749621</v>
      </c>
      <c r="P45" s="623">
        <f ca="1">IF(M45&gt;0,N45*100/M45,0)</f>
        <v>86.544367469879518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IFERROR(__xludf.DUMMYFUNCTION("IMPORTRANGE(""https://docs.google.com/spreadsheets/d/1Yj_ptqi66GCucihVvJfMjLAmec39IyEx_6qawtMGysU/edit?usp=sharing"",""สบก!M53"")"),841100)</f>
        <v>841100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IFERROR(__xludf.DUMMYFUNCTION("IMPORTRANGE(""https://docs.google.com/spreadsheets/d/1Yj_ptqi66GCucihVvJfMjLAmec39IyEx_6qawtMGysU/edit?usp=sharing"",""สบก!N53"")"),0)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IFERROR(__xludf.DUMMYFUNCTION("IMPORTRANGE(""https://docs.google.com/spreadsheets/d/1Yj_ptqi66GCucihVvJfMjLAmec39IyEx_6qawtMGysU/edit?usp=sharing"",""สบก!O53"")"),96000)</f>
        <v>96000</v>
      </c>
      <c r="M49" s="625">
        <f ca="1">L49</f>
        <v>96000</v>
      </c>
      <c r="N49" s="622">
        <f ca="1">IFERROR(__xludf.DUMMYFUNCTION("IMPORTRANGE(""https://docs.google.com/spreadsheets/d/1Yj_ptqi66GCucihVvJfMjLAmec39IyEx_6qawtMGysU/edit?usp=sharing"",""สบก!S53"")"),96000)</f>
        <v>96000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535544.84</v>
      </c>
      <c r="N53" s="121">
        <f t="shared" ca="1" si="39"/>
        <v>524280</v>
      </c>
      <c r="O53" s="120">
        <f t="shared" ref="O53:O55" ca="1" si="40">IF(L53&gt;0,N53*100/L53,0)</f>
        <v>77.464539007092199</v>
      </c>
      <c r="P53" s="120">
        <f t="shared" ref="P53:P55" ca="1" si="41">IF(M53&gt;0,N53*100/M53,0)</f>
        <v>97.896564552839322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535544.84</v>
      </c>
      <c r="N55" s="121">
        <f t="shared" ca="1" si="43"/>
        <v>524280</v>
      </c>
      <c r="O55" s="120">
        <f t="shared" ca="1" si="40"/>
        <v>77.464539007092199</v>
      </c>
      <c r="P55" s="120">
        <f t="shared" ca="1" si="41"/>
        <v>97.896564552839322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622">
        <f ca="1">IFERROR(__xludf.DUMMYFUNCTION("IMPORTRANGE(""https://docs.google.com/spreadsheets/d/1Yj_ptqi66GCucihVvJfMjLAmec39IyEx_6qawtMGysU/edit?usp=sharing"",""สบก!Z53"")"),535544.84)</f>
        <v>535544.84</v>
      </c>
      <c r="N57" s="622">
        <f ca="1">IFERROR(__xludf.DUMMYFUNCTION("IMPORTRANGE(""https://docs.google.com/spreadsheets/d/1Yj_ptqi66GCucihVvJfMjLAmec39IyEx_6qawtMGysU/edit?usp=sharing"",""สบก!AA53"")"),524280)</f>
        <v>524280</v>
      </c>
      <c r="O57" s="623">
        <f ca="1">IF(L57&gt;0,N57*100/L57,0)</f>
        <v>77.464539007092199</v>
      </c>
      <c r="P57" s="623">
        <f ca="1">IF(M57&gt;0,N57*100/M57,0)</f>
        <v>97.896564552839322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IFERROR(__xludf.DUMMYFUNCTION("IMPORTRANGE(""https://docs.google.com/spreadsheets/d/1Yj_ptqi66GCucihVvJfMjLAmec39IyEx_6qawtMGysU/edit?usp=sharing"",""สบก!V53"")"),676800)</f>
        <v>676800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IFERROR(__xludf.DUMMYFUNCTION("IMPORTRANGE(""https://docs.google.com/spreadsheets/d/1Yj_ptqi66GCucihVvJfMjLAmec39IyEx_6qawtMGysU/edit?usp=sharing"",""สบก!W53"")"),0)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IFERROR(__xludf.DUMMYFUNCTION("IMPORTRANGE(""https://docs.google.com/spreadsheets/d/1Yj_ptqi66GCucihVvJfMjLAmec39IyEx_6qawtMGysU/edit?usp=sharing"",""สบก!X53"")"),0)</f>
        <v>0</v>
      </c>
      <c r="M61" s="625"/>
      <c r="N61" s="622">
        <f ca="1">IFERROR(__xludf.DUMMYFUNCTION("IMPORTRANGE(""https://docs.google.com/spreadsheets/d/1Yj_ptqi66GCucihVvJfMjLAmec39IyEx_6qawtMGysU/edit?usp=sharing"",""สบก!AB53"")"),0)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723320</v>
      </c>
      <c r="N66" s="152">
        <f t="shared" ca="1" si="45"/>
        <v>611302.06999999995</v>
      </c>
      <c r="O66" s="151">
        <f t="shared" ref="O66:O68" ca="1" si="46">IF(L66&gt;0,N66*100/L66,0)</f>
        <v>69.88705499028238</v>
      </c>
      <c r="P66" s="151">
        <f t="shared" ref="P66:P68" ca="1" si="47">IF(M66&gt;0,N66*100/M66,0)</f>
        <v>84.513364762484088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723320</v>
      </c>
      <c r="N68" s="157">
        <f t="shared" ca="1" si="49"/>
        <v>611302.06999999995</v>
      </c>
      <c r="O68" s="156">
        <f t="shared" ca="1" si="46"/>
        <v>69.88705499028238</v>
      </c>
      <c r="P68" s="156">
        <f t="shared" ca="1" si="47"/>
        <v>84.513364762484088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874700</v>
      </c>
      <c r="M70" s="626">
        <f ca="1">IFERROR(__xludf.DUMMYFUNCTION("IMPORTRANGE(""https://docs.google.com/spreadsheets/d/1Yj_ptqi66GCucihVvJfMjLAmec39IyEx_6qawtMGysU/edit?usp=sharing"",""สบก!AI53"")"),723320)</f>
        <v>723320</v>
      </c>
      <c r="N70" s="627">
        <f ca="1">IFERROR(__xludf.DUMMYFUNCTION("IMPORTRANGE(""https://docs.google.com/spreadsheets/d/1Yj_ptqi66GCucihVvJfMjLAmec39IyEx_6qawtMGysU/edit?usp=sharing"",""สบก!AJ53"")"),611302.07)</f>
        <v>611302.06999999995</v>
      </c>
      <c r="O70" s="169">
        <f ca="1">IF(L70&gt;0,N70*100/L70,0)</f>
        <v>69.88705499028238</v>
      </c>
      <c r="P70" s="169">
        <f ca="1">IF(M70&gt;0,N70*100/M70,0)</f>
        <v>84.513364762484088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IFERROR(__xludf.DUMMYFUNCTION("IMPORTRANGE(""https://docs.google.com/spreadsheets/d/1Yj_ptqi66GCucihVvJfMjLAmec39IyEx_6qawtMGysU/edit?usp=sharing"",""สบก!AF53"")"),558800)</f>
        <v>558800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IFERROR(__xludf.DUMMYFUNCTION("IMPORTRANGE(""https://docs.google.com/spreadsheets/d/1Yj_ptqi66GCucihVvJfMjLAmec39IyEx_6qawtMGysU/edit?usp=sharing"",""สบก!AG53"")"),0)</f>
        <v>0</v>
      </c>
      <c r="M74" s="625"/>
      <c r="N74" s="622">
        <f ca="1">IFERROR(__xludf.DUMMYFUNCTION("IMPORTRANGE(""https://docs.google.com/spreadsheets/d/1Yj_ptqi66GCucihVvJfMjLAmec39IyEx_6qawtMGysU/edit?usp=sharing"",""สบก!AK53"")"),0)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298915</v>
      </c>
      <c r="N94" s="152">
        <f t="shared" ca="1" si="52"/>
        <v>275705</v>
      </c>
      <c r="O94" s="151">
        <f t="shared" ref="O94:O96" ca="1" si="53">IF(L94&gt;0,N94*100/L94,0)</f>
        <v>86.211694809255789</v>
      </c>
      <c r="P94" s="151">
        <f t="shared" ref="P94:P96" ca="1" si="54">IF(M94&gt;0,N94*100/M94,0)</f>
        <v>92.235250823812791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298915</v>
      </c>
      <c r="N96" s="157">
        <f t="shared" ca="1" si="56"/>
        <v>275705</v>
      </c>
      <c r="O96" s="156">
        <f t="shared" ca="1" si="53"/>
        <v>86.211694809255789</v>
      </c>
      <c r="P96" s="156">
        <f t="shared" ca="1" si="54"/>
        <v>92.235250823812791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6">
        <f ca="1">IFERROR(__xludf.DUMMYFUNCTION("IMPORTRANGE(""https://docs.google.com/spreadsheets/d/1Yj_ptqi66GCucihVvJfMjLAmec39IyEx_6qawtMGysU/edit?usp=sharing"",""สบก!AR53"")"),114115)</f>
        <v>114115</v>
      </c>
      <c r="N98" s="627">
        <f ca="1">IFERROR(__xludf.DUMMYFUNCTION("IMPORTRANGE(""https://docs.google.com/spreadsheets/d/1Yj_ptqi66GCucihVvJfMjLAmec39IyEx_6qawtMGysU/edit?usp=sharing"",""สบก!AS53"")"),90905)</f>
        <v>90905</v>
      </c>
      <c r="O98" s="169">
        <f ca="1">IF(L98&gt;0,N98*100/L98,0)</f>
        <v>67.337037037037035</v>
      </c>
      <c r="P98" s="169">
        <f ca="1">IF(M98&gt;0,N98*100/M98,0)</f>
        <v>79.660868422205667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IFERROR(__xludf.DUMMYFUNCTION("IMPORTRANGE(""https://docs.google.com/spreadsheets/d/1Yj_ptqi66GCucihVvJfMjLAmec39IyEx_6qawtMGysU/edit?usp=sharing"",""สบก!AP53"")"),184800)</f>
        <v>184800</v>
      </c>
      <c r="M102" s="625">
        <f ca="1">L102</f>
        <v>184800</v>
      </c>
      <c r="N102" s="622">
        <f ca="1">IFERROR(__xludf.DUMMYFUNCTION("IMPORTRANGE(""https://docs.google.com/spreadsheets/d/1Yj_ptqi66GCucihVvJfMjLAmec39IyEx_6qawtMGysU/edit?usp=sharing"",""สบก!AT53"")"),184800)</f>
        <v>184800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35700</v>
      </c>
      <c r="O118" s="151">
        <f t="shared" ref="O118:O120" ca="1" si="59">IF(L118&gt;0,N118*100/L118,0)</f>
        <v>43.304221251819506</v>
      </c>
      <c r="P118" s="151">
        <f t="shared" ref="P118:P120" ca="1" si="60">IF(M118&gt;0,N118*100/M118,0)</f>
        <v>43.304221251819506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35700</v>
      </c>
      <c r="O120" s="156">
        <f t="shared" ca="1" si="59"/>
        <v>43.304221251819506</v>
      </c>
      <c r="P120" s="156">
        <f t="shared" ca="1" si="60"/>
        <v>43.304221251819506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IFERROR(__xludf.DUMMYFUNCTION("IMPORTRANGE(""https://docs.google.com/spreadsheets/d/1Yj_ptqi66GCucihVvJfMjLAmec39IyEx_6qawtMGysU/edit?usp=sharing"",""สบก!BA53"")"),82440)</f>
        <v>82440</v>
      </c>
      <c r="N122" s="627">
        <f ca="1">IFERROR(__xludf.DUMMYFUNCTION("IMPORTRANGE(""https://docs.google.com/spreadsheets/d/1Yj_ptqi66GCucihVvJfMjLAmec39IyEx_6qawtMGysU/edit?usp=sharing"",""สบก!BB53"")"),35700)</f>
        <v>35700</v>
      </c>
      <c r="O122" s="169">
        <f ca="1">IF(L122&gt;0,N122*100/L122,0)</f>
        <v>43.304221251819506</v>
      </c>
      <c r="P122" s="169">
        <f ca="1">IF(M122&gt;0,N122*100/M122,0)</f>
        <v>43.304221251819506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IFERROR(__xludf.DUMMYFUNCTION("IMPORTRANGE(""https://docs.google.com/spreadsheets/d/1Yj_ptqi66GCucihVvJfMjLAmec39IyEx_6qawtMGysU/edit?usp=sharing"",""สบก!AY53"")"),0)</f>
        <v>0</v>
      </c>
      <c r="M126" s="625"/>
      <c r="N126" s="622">
        <f ca="1">IFERROR(__xludf.DUMMYFUNCTION("IMPORTRANGE(""https://docs.google.com/spreadsheets/d/1Yj_ptqi66GCucihVvJfMjLAmec39IyEx_6qawtMGysU/edit?usp=sharing"",""สบก!BC53"")"),0)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79000</v>
      </c>
      <c r="M140" s="152">
        <f t="shared" ca="1" si="64"/>
        <v>70625</v>
      </c>
      <c r="N140" s="152">
        <f t="shared" ca="1" si="64"/>
        <v>66560</v>
      </c>
      <c r="O140" s="151">
        <f t="shared" ref="O140:O142" ca="1" si="65">IF(L140&gt;0,N140*100/L140,0)</f>
        <v>84.25316455696202</v>
      </c>
      <c r="P140" s="151">
        <f t="shared" ref="P140:P142" ca="1" si="66">IF(M140&gt;0,N140*100/M140,0)</f>
        <v>94.244247787610618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79000</v>
      </c>
      <c r="M142" s="157">
        <f t="shared" ca="1" si="68"/>
        <v>70625</v>
      </c>
      <c r="N142" s="157">
        <f t="shared" ca="1" si="68"/>
        <v>66560</v>
      </c>
      <c r="O142" s="156">
        <f t="shared" ca="1" si="65"/>
        <v>84.25316455696202</v>
      </c>
      <c r="P142" s="156">
        <f t="shared" ca="1" si="66"/>
        <v>94.244247787610618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79000</v>
      </c>
      <c r="M144" s="626">
        <f ca="1">IFERROR(__xludf.DUMMYFUNCTION("IMPORTRANGE(""https://docs.google.com/spreadsheets/d/1Yj_ptqi66GCucihVvJfMjLAmec39IyEx_6qawtMGysU/edit?usp=sharing"",""สบก!BJ53"")"),70625)</f>
        <v>70625</v>
      </c>
      <c r="N144" s="627">
        <f ca="1">IFERROR(__xludf.DUMMYFUNCTION("IMPORTRANGE(""https://docs.google.com/spreadsheets/d/1Yj_ptqi66GCucihVvJfMjLAmec39IyEx_6qawtMGysU/edit?usp=sharing"",""สบก!BK53"")"),66560)</f>
        <v>66560</v>
      </c>
      <c r="O144" s="169">
        <f ca="1">IF(L144&gt;0,N144*100/L144,0)</f>
        <v>84.25316455696202</v>
      </c>
      <c r="P144" s="169">
        <f ca="1">IF(M144&gt;0,N144*100/M144,0)</f>
        <v>94.244247787610618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IFERROR(__xludf.DUMMYFUNCTION("IMPORTRANGE(""https://docs.google.com/spreadsheets/d/1Yj_ptqi66GCucihVvJfMjLAmec39IyEx_6qawtMGysU/edit?usp=sharing"",""สบก!BG53"")"),79000)</f>
        <v>79000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IFERROR(__xludf.DUMMYFUNCTION("IMPORTRANGE(""https://docs.google.com/spreadsheets/d/1Yj_ptqi66GCucihVvJfMjLAmec39IyEx_6qawtMGysU/edit?usp=sharing"",""สบก!BH53"")"),0)</f>
        <v>0</v>
      </c>
      <c r="M148" s="625"/>
      <c r="N148" s="622">
        <f ca="1">IFERROR(__xludf.DUMMYFUNCTION("IMPORTRANGE(""https://docs.google.com/spreadsheets/d/1Yj_ptqi66GCucihVvJfMjLAmec39IyEx_6qawtMGysU/edit?usp=sharing"",""สบก!BL53"")"),0)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IFERROR(__xludf.DUMMYFUNCTION("IMPORTRANGE(""https://docs.google.com/spreadsheets/d/1Yj_ptqi66GCucihVvJfMjLAmec39IyEx_6qawtMGysU/edit?usp=sharing"",""สบก!BS53"")"),21125)</f>
        <v>21125</v>
      </c>
      <c r="N224" s="627">
        <f ca="1">IFERROR(__xludf.DUMMYFUNCTION("IMPORTRANGE(""https://docs.google.com/spreadsheets/d/1Yj_ptqi66GCucihVvJfMjLAmec39IyEx_6qawtMGysU/edit?usp=sharing"",""สบก!BT53"")"),21125)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IFERROR(__xludf.DUMMYFUNCTION("IMPORTRANGE(""https://docs.google.com/spreadsheets/d/1Yj_ptqi66GCucihVvJfMjLAmec39IyEx_6qawtMGysU/edit?usp=sharing"",""สบก!BQ53"")"),0)</f>
        <v>0</v>
      </c>
      <c r="M228" s="625"/>
      <c r="N228" s="622">
        <f ca="1">IFERROR(__xludf.DUMMYFUNCTION("IMPORTRANGE(""https://docs.google.com/spreadsheets/d/1Yj_ptqi66GCucihVvJfMjLAmec39IyEx_6qawtMGysU/edit?usp=sharing"",""สบก!BU53"")"),0)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46964</v>
      </c>
      <c r="O250" s="151">
        <f t="shared" ref="O250:O252" ca="1" si="78">IF(L250&gt;0,N250*100/L250,0)</f>
        <v>52.768539325842696</v>
      </c>
      <c r="P250" s="151">
        <f t="shared" ref="P250:P252" ca="1" si="79">IF(M250&gt;0,N250*100/M250,0)</f>
        <v>98.87157894736842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46964</v>
      </c>
      <c r="O252" s="156">
        <f t="shared" ca="1" si="78"/>
        <v>52.768539325842696</v>
      </c>
      <c r="P252" s="156">
        <f t="shared" ca="1" si="79"/>
        <v>98.87157894736842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IFERROR(__xludf.DUMMYFUNCTION("IMPORTRANGE(""https://docs.google.com/spreadsheets/d/1Yj_ptqi66GCucihVvJfMjLAmec39IyEx_6qawtMGysU/edit?usp=sharing"",""สบก!CB53"")"),47500)</f>
        <v>47500</v>
      </c>
      <c r="N254" s="627">
        <f ca="1">IFERROR(__xludf.DUMMYFUNCTION("IMPORTRANGE(""https://docs.google.com/spreadsheets/d/1Yj_ptqi66GCucihVvJfMjLAmec39IyEx_6qawtMGysU/edit?usp=sharing"",""สบก!CC53"")"),46964)</f>
        <v>46964</v>
      </c>
      <c r="O254" s="169">
        <f ca="1">IF(L254&gt;0,N254*100/L254,0)</f>
        <v>52.768539325842696</v>
      </c>
      <c r="P254" s="169">
        <f ca="1">IF(M254&gt;0,N254*100/M254,0)</f>
        <v>98.87157894736842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IFERROR(__xludf.DUMMYFUNCTION("IMPORTRANGE(""https://docs.google.com/spreadsheets/d/1Yj_ptqi66GCucihVvJfMjLAmec39IyEx_6qawtMGysU/edit?usp=sharing"",""สบก!BZ53"")"),0)</f>
        <v>0</v>
      </c>
      <c r="M258" s="625"/>
      <c r="N258" s="622">
        <f ca="1">IFERROR(__xludf.DUMMYFUNCTION("IMPORTRANGE(""https://docs.google.com/spreadsheets/d/1Yj_ptqi66GCucihVvJfMjLAmec39IyEx_6qawtMGysU/edit?usp=sharing"",""สบก!CD53"")"),0)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IFERROR(__xludf.DUMMYFUNCTION("IMPORTRANGE(""https://docs.google.com/spreadsheets/d/1Yj_ptqi66GCucihVvJfMjLAmec39IyEx_6qawtMGysU/edit?usp=sharing"",""สบก!CK53"")"),0)</f>
        <v>0</v>
      </c>
      <c r="N275" s="627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IFERROR(__xludf.DUMMYFUNCTION("IMPORTRANGE(""https://docs.google.com/spreadsheets/d/1Yj_ptqi66GCucihVvJfMjLAmec39IyEx_6qawtMGysU/edit?usp=sharing"",""สบก!CI53"")"),0)</f>
        <v>0</v>
      </c>
      <c r="M279" s="625"/>
      <c r="N279" s="622">
        <f ca="1">IFERROR(__xludf.DUMMYFUNCTION("IMPORTRANGE(""https://docs.google.com/spreadsheets/d/1Yj_ptqi66GCucihVvJfMjLAmec39IyEx_6qawtMGysU/edit?usp=sharing"",""สบก!CM53"")"),0)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IFERROR(__xludf.DUMMYFUNCTION("IMPORTRANGE(""https://docs.google.com/spreadsheets/d/1Yj_ptqi66GCucihVvJfMjLAmec39IyEx_6qawtMGysU/edit?usp=sharing"",""สบก!CT53"")"),0)</f>
        <v>0</v>
      </c>
      <c r="N294" s="627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IFERROR(__xludf.DUMMYFUNCTION("IMPORTRANGE(""https://docs.google.com/spreadsheets/d/1Yj_ptqi66GCucihVvJfMjLAmec39IyEx_6qawtMGysU/edit?usp=sharing"",""สบก!CR53"")"),0)</f>
        <v>0</v>
      </c>
      <c r="M298" s="625"/>
      <c r="N298" s="622">
        <f ca="1">IFERROR(__xludf.DUMMYFUNCTION("IMPORTRANGE(""https://docs.google.com/spreadsheets/d/1Yj_ptqi66GCucihVvJfMjLAmec39IyEx_6qawtMGysU/edit?usp=sharing"",""สบก!CV53"")"),0)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IFERROR(__xludf.DUMMYFUNCTION("IMPORTRANGE(""https://docs.google.com/spreadsheets/d/1Yj_ptqi66GCucihVvJfMjLAmec39IyEx_6qawtMGysU/edit?usp=sharing"",""สบก!DC53"")"),0)</f>
        <v>0</v>
      </c>
      <c r="N314" s="627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IFERROR(__xludf.DUMMYFUNCTION("IMPORTRANGE(""https://docs.google.com/spreadsheets/d/1Yj_ptqi66GCucihVvJfMjLAmec39IyEx_6qawtMGysU/edit?usp=sharing"",""สบก!DA53"")"),0)</f>
        <v>0</v>
      </c>
      <c r="M318" s="625"/>
      <c r="N318" s="622">
        <f ca="1">IFERROR(__xludf.DUMMYFUNCTION("IMPORTRANGE(""https://docs.google.com/spreadsheets/d/1Yj_ptqi66GCucihVvJfMjLAmec39IyEx_6qawtMGysU/edit?usp=sharing"",""สบก!DE53"")"),0)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IFERROR(__xludf.DUMMYFUNCTION("IMPORTRANGE(""https://docs.google.com/spreadsheets/d/1XL5vhW3sbDhbH9Cz0tuDiY8C3ctxq1tqvaCgkFb8cCA/edit?usp=sharing"",""หนองคาย!J228"")"),61)</f>
        <v>61</v>
      </c>
      <c r="K328" s="318">
        <f ca="1">IF(I328&gt;0,J328*100/I328,0)</f>
        <v>9.384615384615385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948900</v>
      </c>
      <c r="N329" s="152">
        <f t="shared" ca="1" si="98"/>
        <v>849937.29</v>
      </c>
      <c r="O329" s="151">
        <f t="shared" ref="O329:O331" ca="1" si="99">IF(L329&gt;0,N329*100/L329,0)</f>
        <v>70.997910836751231</v>
      </c>
      <c r="P329" s="151">
        <f t="shared" ref="P329:P331" ca="1" si="100">IF(M329&gt;0,N329*100/M329,0)</f>
        <v>89.570796711982297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948900</v>
      </c>
      <c r="N331" s="157">
        <f t="shared" ca="1" si="102"/>
        <v>849937.29</v>
      </c>
      <c r="O331" s="156">
        <f t="shared" ca="1" si="99"/>
        <v>70.997910836751231</v>
      </c>
      <c r="P331" s="156">
        <f t="shared" ca="1" si="100"/>
        <v>89.570796711982297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6">
        <f ca="1">IFERROR(__xludf.DUMMYFUNCTION("IMPORTRANGE(""https://docs.google.com/spreadsheets/d/1Yj_ptqi66GCucihVvJfMjLAmec39IyEx_6qawtMGysU/edit?usp=sharing"",""สบก!DL53"")"),762900)</f>
        <v>762900</v>
      </c>
      <c r="N333" s="627">
        <f ca="1">IFERROR(__xludf.DUMMYFUNCTION("IMPORTRANGE(""https://docs.google.com/spreadsheets/d/1Yj_ptqi66GCucihVvJfMjLAmec39IyEx_6qawtMGysU/edit?usp=sharing"",""สบก!DM53"")"),663937.29)</f>
        <v>663937.29</v>
      </c>
      <c r="O333" s="169">
        <f ca="1">IF(L333&gt;0,N333*100/L333,0)</f>
        <v>65.662900912840087</v>
      </c>
      <c r="P333" s="169">
        <f ca="1">IF(M333&gt;0,N333*100/M333,0)</f>
        <v>87.028088871411725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IFERROR(__xludf.DUMMYFUNCTION("IMPORTRANGE(""https://docs.google.com/spreadsheets/d/1Yj_ptqi66GCucihVvJfMjLAmec39IyEx_6qawtMGysU/edit?usp=sharing"",""สบก!DJ53"")"),186000)</f>
        <v>186000</v>
      </c>
      <c r="M337" s="625">
        <f ca="1">L337</f>
        <v>186000</v>
      </c>
      <c r="N337" s="622">
        <f ca="1">IFERROR(__xludf.DUMMYFUNCTION("IMPORTRANGE(""https://docs.google.com/spreadsheets/d/1Yj_ptqi66GCucihVvJfMjLAmec39IyEx_6qawtMGysU/edit?usp=sharing"",""สบก!DN53"")"),186000)</f>
        <v>186000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IFERROR(__xludf.DUMMYFUNCTION("IMPORTRANGE(""https://docs.google.com/spreadsheets/d/1XL5vhW3sbDhbH9Cz0tuDiY8C3ctxq1tqvaCgkFb8cCA/edit?usp=sharing"",""หนองคาย!J234"")"),140)</f>
        <v>140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IFERROR(__xludf.DUMMYFUNCTION("IMPORTRANGE(""https://docs.google.com/spreadsheets/d/1XL5vhW3sbDhbH9Cz0tuDiY8C3ctxq1tqvaCgkFb8cCA/edit?usp=sharing"",""หนองคาย!J235"")"),1427.08)</f>
        <v>1427.08</v>
      </c>
      <c r="K340" s="343">
        <f t="shared" ca="1" si="103"/>
        <v>42.271327014218009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IFERROR(__xludf.DUMMYFUNCTION("IMPORTRANGE(""https://docs.google.com/spreadsheets/d/1XL5vhW3sbDhbH9Cz0tuDiY8C3ctxq1tqvaCgkFb8cCA/edit?usp=sharing"",""หนองคาย!J236"")"),278)</f>
        <v>278</v>
      </c>
      <c r="K341" s="343">
        <f t="shared" ca="1" si="103"/>
        <v>42.769230769230766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IFERROR(__xludf.DUMMYFUNCTION("IMPORTRANGE(""https://docs.google.com/spreadsheets/d/1XL5vhW3sbDhbH9Cz0tuDiY8C3ctxq1tqvaCgkFb8cCA/edit?usp=sharing"",""หนองคาย!J237"")"),3559.04)</f>
        <v>3559.04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IFERROR(__xludf.DUMMYFUNCTION("IMPORTRANGE(""https://docs.google.com/spreadsheets/d/1XL5vhW3sbDhbH9Cz0tuDiY8C3ctxq1tqvaCgkFb8cCA/edit?usp=sharing"",""หนองคาย!J240"")"),61)</f>
        <v>61</v>
      </c>
      <c r="K345" s="343">
        <f t="shared" ca="1" si="103"/>
        <v>9.384615384615385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IFERROR(__xludf.DUMMYFUNCTION("IMPORTRANGE(""https://docs.google.com/spreadsheets/d/1XL5vhW3sbDhbH9Cz0tuDiY8C3ctxq1tqvaCgkFb8cCA/edit?usp=sharing"",""หนองคาย!J241"")"),895.55)</f>
        <v>895.55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IFERROR(__xludf.DUMMYFUNCTION("IMPORTRANGE(""https://docs.google.com/spreadsheets/d/1XL5vhW3sbDhbH9Cz0tuDiY8C3ctxq1tqvaCgkFb8cCA/edit?usp=sharing"",""หนองคาย!L242"")"),2454056)</f>
        <v>2454056</v>
      </c>
      <c r="M347" s="358"/>
      <c r="N347" s="358">
        <f ca="1">IFERROR(__xludf.DUMMYFUNCTION("IMPORTRANGE(""https://docs.google.com/spreadsheets/d/1XL5vhW3sbDhbH9Cz0tuDiY8C3ctxq1tqvaCgkFb8cCA/edit?usp=sharing"",""หนองคาย!M242"")"),1190148.29)</f>
        <v>1190148.29</v>
      </c>
      <c r="O347" s="358">
        <f ca="1">+IF(L347&gt;0,N347*100/L347,0)</f>
        <v>48.497193625573338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IFERROR(__xludf.DUMMYFUNCTION("IMPORTRANGE(""https://docs.google.com/spreadsheets/d/1XL5vhW3sbDhbH9Cz0tuDiY8C3ctxq1tqvaCgkFb8cCA/edit?usp=sharing"",""หนองคาย!J244"")"),174.5)</f>
        <v>174.5</v>
      </c>
      <c r="K349" s="372">
        <f t="shared" ref="K349:K350" ca="1" si="104">IF(I349&gt;0,J349*100/I349,0)</f>
        <v>43.625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IFERROR(__xludf.DUMMYFUNCTION("IMPORTRANGE(""https://docs.google.com/spreadsheets/d/1XL5vhW3sbDhbH9Cz0tuDiY8C3ctxq1tqvaCgkFb8cCA/edit?usp=sharing"",""หนองคาย!M244"")"),363770.5)</f>
        <v>363770.5</v>
      </c>
      <c r="O349" s="373">
        <f ca="1">+IF(L349&gt;0,N349*100/L349,0)</f>
        <v>57.270458767593439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IFERROR(__xludf.DUMMYFUNCTION("IMPORTRANGE(""https://docs.google.com/spreadsheets/d/1XL5vhW3sbDhbH9Cz0tuDiY8C3ctxq1tqvaCgkFb8cCA/edit?usp=sharing"",""หนองคาย!M247"")"),363770.5)</f>
        <v>363770.5</v>
      </c>
      <c r="O352" s="165">
        <f t="shared" ca="1" si="105"/>
        <v>57.270458767593439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IFERROR(__xludf.DUMMYFUNCTION("IMPORTRANGE(""https://docs.google.com/spreadsheets/d/1XL5vhW3sbDhbH9Cz0tuDiY8C3ctxq1tqvaCgkFb8cCA/edit?usp=sharing"",""หนองคาย!M249"")"),363770.5)</f>
        <v>363770.5</v>
      </c>
      <c r="O354" s="169">
        <f t="shared" ca="1" si="105"/>
        <v>57.270458767593439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IFERROR(__xludf.DUMMYFUNCTION("IMPORTRANGE(""https://docs.google.com/spreadsheets/d/1XL5vhW3sbDhbH9Cz0tuDiY8C3ctxq1tqvaCgkFb8cCA/edit?usp=sharing"",""หนองคาย!M250"")"),106980)</f>
        <v>106980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IFERROR(__xludf.DUMMYFUNCTION("IMPORTRANGE(""https://docs.google.com/spreadsheets/d/1XL5vhW3sbDhbH9Cz0tuDiY8C3ctxq1tqvaCgkFb8cCA/edit?usp=sharing"",""หนองคาย!M251"")"),146213)</f>
        <v>146213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IFERROR(__xludf.DUMMYFUNCTION("IMPORTRANGE(""https://docs.google.com/spreadsheets/d/1XL5vhW3sbDhbH9Cz0tuDiY8C3ctxq1tqvaCgkFb8cCA/edit?usp=sharing"",""หนองคาย!M252"")"),85246.29)</f>
        <v>85246.29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IFERROR(__xludf.DUMMYFUNCTION("IMPORTRANGE(""https://docs.google.com/spreadsheets/d/1XL5vhW3sbDhbH9Cz0tuDiY8C3ctxq1tqvaCgkFb8cCA/edit?usp=sharing"",""หนองคาย!M253"")"),25331.21)</f>
        <v>25331.21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IFERROR(__xludf.DUMMYFUNCTION("IMPORTRANGE(""https://docs.google.com/spreadsheets/d/1XL5vhW3sbDhbH9Cz0tuDiY8C3ctxq1tqvaCgkFb8cCA/edit?usp=sharing"",""หนองคาย!J270"")"),174.5)</f>
        <v>174.5</v>
      </c>
      <c r="K375" s="163">
        <f t="shared" ref="K375:K377" ca="1" si="107">IF(I375&gt;0,J375*100/I375,0)</f>
        <v>43.625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IFERROR(__xludf.DUMMYFUNCTION("IMPORTRANGE(""https://docs.google.com/spreadsheets/d/1XL5vhW3sbDhbH9Cz0tuDiY8C3ctxq1tqvaCgkFb8cCA/edit?usp=sharing"",""หนองคาย!J271"")"),80)</f>
        <v>80</v>
      </c>
      <c r="K376" s="163">
        <f t="shared" ca="1" si="107"/>
        <v>80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IFERROR(__xludf.DUMMYFUNCTION("IMPORTRANGE(""https://docs.google.com/spreadsheets/d/1XL5vhW3sbDhbH9Cz0tuDiY8C3ctxq1tqvaCgkFb8cCA/edit?usp=sharing"",""หนองคาย!J272"")"),94.5)</f>
        <v>94.5</v>
      </c>
      <c r="K377" s="163">
        <f t="shared" ca="1" si="107"/>
        <v>31.5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IFERROR(__xludf.DUMMYFUNCTION("IMPORTRANGE(""https://docs.google.com/spreadsheets/d/1XL5vhW3sbDhbH9Cz0tuDiY8C3ctxq1tqvaCgkFb8cCA/edit?usp=sharing"",""หนองคาย!M275"")"),128841)</f>
        <v>128841</v>
      </c>
      <c r="O380" s="373">
        <f ca="1">+IF(L380&gt;0,N380*100/L380,0)</f>
        <v>28.000391185291434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IFERROR(__xludf.DUMMYFUNCTION("IMPORTRANGE(""https://docs.google.com/spreadsheets/d/1XL5vhW3sbDhbH9Cz0tuDiY8C3ctxq1tqvaCgkFb8cCA/edit?usp=sharing"",""หนองคาย!M278"")"),128841)</f>
        <v>128841</v>
      </c>
      <c r="O383" s="165">
        <f t="shared" ca="1" si="109"/>
        <v>28.000391185291434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IFERROR(__xludf.DUMMYFUNCTION("IMPORTRANGE(""https://docs.google.com/spreadsheets/d/1XL5vhW3sbDhbH9Cz0tuDiY8C3ctxq1tqvaCgkFb8cCA/edit?usp=sharing"",""หนองคาย!M280"")"),128841)</f>
        <v>128841</v>
      </c>
      <c r="O385" s="169">
        <f t="shared" ca="1" si="109"/>
        <v>28.000391185291434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IFERROR(__xludf.DUMMYFUNCTION("IMPORTRANGE(""https://docs.google.com/spreadsheets/d/1XL5vhW3sbDhbH9Cz0tuDiY8C3ctxq1tqvaCgkFb8cCA/edit?usp=sharing"",""หนองคาย!M284"")"),18685)</f>
        <v>18685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IFERROR(__xludf.DUMMYFUNCTION("IMPORTRANGE(""https://docs.google.com/spreadsheets/d/1XL5vhW3sbDhbH9Cz0tuDiY8C3ctxq1tqvaCgkFb8cCA/edit?usp=sharing"",""หนองคาย!M296"")"),131057.95)</f>
        <v>131057.95</v>
      </c>
      <c r="O401" s="373">
        <f ca="1">+IF(L401&gt;0,N401*100/L401,0)</f>
        <v>67.803792229292768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IFERROR(__xludf.DUMMYFUNCTION("IMPORTRANGE(""https://docs.google.com/spreadsheets/d/1XL5vhW3sbDhbH9Cz0tuDiY8C3ctxq1tqvaCgkFb8cCA/edit?usp=sharing"",""หนองคาย!M299"")"),131057.95)</f>
        <v>131057.95</v>
      </c>
      <c r="O404" s="169">
        <f t="shared" ca="1" si="112"/>
        <v>67.803792229292768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IFERROR(__xludf.DUMMYFUNCTION("IMPORTRANGE(""https://docs.google.com/spreadsheets/d/1XL5vhW3sbDhbH9Cz0tuDiY8C3ctxq1tqvaCgkFb8cCA/edit?usp=sharing"",""หนองคาย!M301"")"),131057.95)</f>
        <v>131057.95</v>
      </c>
      <c r="O406" s="169">
        <f t="shared" ca="1" si="112"/>
        <v>67.803792229292768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IFERROR(__xludf.DUMMYFUNCTION("IMPORTRANGE(""https://docs.google.com/spreadsheets/d/1XL5vhW3sbDhbH9Cz0tuDiY8C3ctxq1tqvaCgkFb8cCA/edit?usp=sharing"",""หนองคาย!M305"")"),18445.01)</f>
        <v>18445.009999999998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IFERROR(__xludf.DUMMYFUNCTION("IMPORTRANGE(""https://docs.google.com/spreadsheets/d/1XL5vhW3sbDhbH9Cz0tuDiY8C3ctxq1tqvaCgkFb8cCA/edit?usp=sharing"",""หนองคาย!M330"")"),34940)</f>
        <v>34940</v>
      </c>
      <c r="O435" s="412">
        <f t="shared" ref="O435:O439" ca="1" si="114">+IF(L435&gt;0,N435*100/L435,0)</f>
        <v>39.704545454545453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IFERROR(__xludf.DUMMYFUNCTION("IMPORTRANGE(""https://docs.google.com/spreadsheets/d/1XL5vhW3sbDhbH9Cz0tuDiY8C3ctxq1tqvaCgkFb8cCA/edit?usp=sharing"",""หนองคาย!M332"")"),34940)</f>
        <v>34940</v>
      </c>
      <c r="O437" s="169">
        <f t="shared" ca="1" si="114"/>
        <v>39.704545454545453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IFERROR(__xludf.DUMMYFUNCTION("IMPORTRANGE(""https://docs.google.com/spreadsheets/d/1XL5vhW3sbDhbH9Cz0tuDiY8C3ctxq1tqvaCgkFb8cCA/edit?usp=sharing"",""หนองคาย!M334"")"),34940)</f>
        <v>34940</v>
      </c>
      <c r="O439" s="169">
        <f t="shared" ca="1" si="114"/>
        <v>39.704545454545453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IFERROR(__xludf.DUMMYFUNCTION("IMPORTRANGE(""https://docs.google.com/spreadsheets/d/1XL5vhW3sbDhbH9Cz0tuDiY8C3ctxq1tqvaCgkFb8cCA/edit?usp=sharing"",""หนองคาย!J350"")"),52883.66)</f>
        <v>52883.66</v>
      </c>
      <c r="K455" s="372">
        <f ca="1">IF(I455&gt;0,J455*100/I455,0)</f>
        <v>100.00124803812189</v>
      </c>
      <c r="L455" s="373">
        <f ca="1">IFERROR(__xludf.DUMMYFUNCTION("IMPORTRANGE(""https://docs.google.com/spreadsheets/d/1XL5vhW3sbDhbH9Cz0tuDiY8C3ctxq1tqvaCgkFb8cCA/edit?usp=sharing"",""หนองคาย!L350"")"),773060)</f>
        <v>773060</v>
      </c>
      <c r="M455" s="373"/>
      <c r="N455" s="373">
        <f ca="1">IFERROR(__xludf.DUMMYFUNCTION("IMPORTRANGE(""https://docs.google.com/spreadsheets/d/1XL5vhW3sbDhbH9Cz0tuDiY8C3ctxq1tqvaCgkFb8cCA/edit?usp=sharing"",""หนองคาย!M350"")"),368438.52)</f>
        <v>368438.52</v>
      </c>
      <c r="O455" s="373">
        <f t="shared" ref="O455:O459" ca="1" si="116">+IF(L455&gt;0,N455*100/L455,0)</f>
        <v>47.659757328021108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IFERROR(__xludf.DUMMYFUNCTION("IMPORTRANGE(""https://docs.google.com/spreadsheets/d/1XL5vhW3sbDhbH9Cz0tuDiY8C3ctxq1tqvaCgkFb8cCA/edit?usp=sharing"",""หนองคาย!L352"")"),773060)</f>
        <v>773060</v>
      </c>
      <c r="M457" s="165"/>
      <c r="N457" s="169">
        <f ca="1">IFERROR(__xludf.DUMMYFUNCTION("IMPORTRANGE(""https://docs.google.com/spreadsheets/d/1XL5vhW3sbDhbH9Cz0tuDiY8C3ctxq1tqvaCgkFb8cCA/edit?usp=sharing"",""หนองคาย!M352"")"),368438.52)</f>
        <v>368438.52</v>
      </c>
      <c r="O457" s="169">
        <f t="shared" ca="1" si="116"/>
        <v>47.659757328021108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IFERROR(__xludf.DUMMYFUNCTION("IMPORTRANGE(""https://docs.google.com/spreadsheets/d/1XL5vhW3sbDhbH9Cz0tuDiY8C3ctxq1tqvaCgkFb8cCA/edit?usp=sharing"",""หนองคาย!L354"")"),773060)</f>
        <v>773060</v>
      </c>
      <c r="M459" s="169"/>
      <c r="N459" s="169">
        <f ca="1">IFERROR(__xludf.DUMMYFUNCTION("IMPORTRANGE(""https://docs.google.com/spreadsheets/d/1XL5vhW3sbDhbH9Cz0tuDiY8C3ctxq1tqvaCgkFb8cCA/edit?usp=sharing"",""หนองคาย!M354"")"),368438.52)</f>
        <v>368438.52</v>
      </c>
      <c r="O459" s="169">
        <f t="shared" ca="1" si="116"/>
        <v>47.659757328021108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IFERROR(__xludf.DUMMYFUNCTION("IMPORTRANGE(""https://docs.google.com/spreadsheets/d/1XL5vhW3sbDhbH9Cz0tuDiY8C3ctxq1tqvaCgkFb8cCA/edit?usp=sharing"",""หนองคาย!M357"")"),67478.51)</f>
        <v>67478.509999999995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IFERROR(__xludf.DUMMYFUNCTION("IMPORTRANGE(""https://docs.google.com/spreadsheets/d/1XL5vhW3sbDhbH9Cz0tuDiY8C3ctxq1tqvaCgkFb8cCA/edit?usp=sharing"",""หนองคาย!M358"")"),300960.01)</f>
        <v>300960.01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IFERROR(__xludf.DUMMYFUNCTION("IMPORTRANGE(""https://docs.google.com/spreadsheets/d/1XL5vhW3sbDhbH9Cz0tuDiY8C3ctxq1tqvaCgkFb8cCA/edit?usp=sharing"",""หนองคาย!J359"")"),52883.66)</f>
        <v>52883.66</v>
      </c>
      <c r="K464" s="269">
        <f t="shared" ref="K464:K515" ca="1" si="117">IF(I464&gt;0,J464*100/I464,0)</f>
        <v>100.00124803812189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IFERROR(__xludf.DUMMYFUNCTION("IMPORTRANGE(""https://docs.google.com/spreadsheets/d/1XL5vhW3sbDhbH9Cz0tuDiY8C3ctxq1tqvaCgkFb8cCA/edit?usp=sharing"",""หนองคาย!J376"")"),52883.66)</f>
        <v>52883.66</v>
      </c>
      <c r="K481" s="202">
        <f t="shared" ca="1" si="117"/>
        <v>100.00124803812189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IFERROR(__xludf.DUMMYFUNCTION("IMPORTRANGE(""https://docs.google.com/spreadsheets/d/1XL5vhW3sbDhbH9Cz0tuDiY8C3ctxq1tqvaCgkFb8cCA/edit?usp=sharing"",""หนองคาย!J378"")"),37655.71)</f>
        <v>37655.71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IFERROR(__xludf.DUMMYFUNCTION("IMPORTRANGE(""https://docs.google.com/spreadsheets/d/1XL5vhW3sbDhbH9Cz0tuDiY8C3ctxq1tqvaCgkFb8cCA/edit?usp=sharing"",""หนองคาย!J379"")"),5163)</f>
        <v>5163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IFERROR(__xludf.DUMMYFUNCTION("IMPORTRANGE(""https://docs.google.com/spreadsheets/d/1XL5vhW3sbDhbH9Cz0tuDiY8C3ctxq1tqvaCgkFb8cCA/edit?usp=sharing"",""หนองคาย!J380"")"),13158.87)</f>
        <v>13158.87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IFERROR(__xludf.DUMMYFUNCTION("IMPORTRANGE(""https://docs.google.com/spreadsheets/d/1XL5vhW3sbDhbH9Cz0tuDiY8C3ctxq1tqvaCgkFb8cCA/edit?usp=sharing"",""หนองคาย!J381"")"),1193)</f>
        <v>1193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IFERROR(__xludf.DUMMYFUNCTION("IMPORTRANGE(""https://docs.google.com/spreadsheets/d/1XL5vhW3sbDhbH9Cz0tuDiY8C3ctxq1tqvaCgkFb8cCA/edit?usp=sharing"",""หนองคาย!J382"")"),2069.08)</f>
        <v>2069.08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IFERROR(__xludf.DUMMYFUNCTION("IMPORTRANGE(""https://docs.google.com/spreadsheets/d/1XL5vhW3sbDhbH9Cz0tuDiY8C3ctxq1tqvaCgkFb8cCA/edit?usp=sharing"",""หนองคาย!J383"")"),186)</f>
        <v>186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IFERROR(__xludf.DUMMYFUNCTION("IMPORTRANGE(""https://docs.google.com/spreadsheets/d/1XL5vhW3sbDhbH9Cz0tuDiY8C3ctxq1tqvaCgkFb8cCA/edit?usp=sharing"",""หนองคาย!J384"")"),1862.14)</f>
        <v>1862.14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IFERROR(__xludf.DUMMYFUNCTION("IMPORTRANGE(""https://docs.google.com/spreadsheets/d/1XL5vhW3sbDhbH9Cz0tuDiY8C3ctxq1tqvaCgkFb8cCA/edit?usp=sharing"",""หนองคาย!J385"")"),169)</f>
        <v>169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IFERROR(__xludf.DUMMYFUNCTION("IMPORTRANGE(""https://docs.google.com/spreadsheets/d/1XL5vhW3sbDhbH9Cz0tuDiY8C3ctxq1tqvaCgkFb8cCA/edit?usp=sharing"",""หนองคาย!J386"")"),206.94)</f>
        <v>206.94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IFERROR(__xludf.DUMMYFUNCTION("IMPORTRANGE(""https://docs.google.com/spreadsheets/d/1XL5vhW3sbDhbH9Cz0tuDiY8C3ctxq1tqvaCgkFb8cCA/edit?usp=sharing"",""หนองคาย!J387"")"),17)</f>
        <v>17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IFERROR(__xludf.DUMMYFUNCTION("IMPORTRANGE(""https://docs.google.com/spreadsheets/d/1XL5vhW3sbDhbH9Cz0tuDiY8C3ctxq1tqvaCgkFb8cCA/edit?usp=sharing"",""หนองคาย!J392"")"),6215)</f>
        <v>6215</v>
      </c>
      <c r="K497" s="444">
        <f t="shared" ca="1" si="117"/>
        <v>58.084112149532707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IFERROR(__xludf.DUMMYFUNCTION("IMPORTRANGE(""https://docs.google.com/spreadsheets/d/1XL5vhW3sbDhbH9Cz0tuDiY8C3ctxq1tqvaCgkFb8cCA/edit?usp=sharing"",""หนองคาย!J393"")"),6215)</f>
        <v>6215</v>
      </c>
      <c r="K498" s="163">
        <f t="shared" ca="1" si="117"/>
        <v>58.084112149532707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IFERROR(__xludf.DUMMYFUNCTION("IMPORTRANGE(""https://docs.google.com/spreadsheets/d/1XL5vhW3sbDhbH9Cz0tuDiY8C3ctxq1tqvaCgkFb8cCA/edit?usp=sharing"",""หนองคาย!J394"")"),462)</f>
        <v>462</v>
      </c>
      <c r="K499" s="202">
        <f t="shared" ca="1" si="117"/>
        <v>51.793721973094172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IFERROR(__xludf.DUMMYFUNCTION("IMPORTRANGE(""https://docs.google.com/spreadsheets/d/1XL5vhW3sbDhbH9Cz0tuDiY8C3ctxq1tqvaCgkFb8cCA/edit?usp=sharing"",""หนองคาย!J395"")"),5425)</f>
        <v>5425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IFERROR(__xludf.DUMMYFUNCTION("IMPORTRANGE(""https://docs.google.com/spreadsheets/d/1XL5vhW3sbDhbH9Cz0tuDiY8C3ctxq1tqvaCgkFb8cCA/edit?usp=sharing"",""หนองคาย!J396"")"),385)</f>
        <v>385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IFERROR(__xludf.DUMMYFUNCTION("IMPORTRANGE(""https://docs.google.com/spreadsheets/d/1XL5vhW3sbDhbH9Cz0tuDiY8C3ctxq1tqvaCgkFb8cCA/edit?usp=sharing"",""หนองคาย!J397"")"),5198)</f>
        <v>5198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IFERROR(__xludf.DUMMYFUNCTION("IMPORTRANGE(""https://docs.google.com/spreadsheets/d/1XL5vhW3sbDhbH9Cz0tuDiY8C3ctxq1tqvaCgkFb8cCA/edit?usp=sharing"",""หนองคาย!J398"")"),369)</f>
        <v>369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IFERROR(__xludf.DUMMYFUNCTION("IMPORTRANGE(""https://docs.google.com/spreadsheets/d/1XL5vhW3sbDhbH9Cz0tuDiY8C3ctxq1tqvaCgkFb8cCA/edit?usp=sharing"",""หนองคาย!J399"")"),227)</f>
        <v>227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IFERROR(__xludf.DUMMYFUNCTION("IMPORTRANGE(""https://docs.google.com/spreadsheets/d/1XL5vhW3sbDhbH9Cz0tuDiY8C3ctxq1tqvaCgkFb8cCA/edit?usp=sharing"",""หนองคาย!J400"")"),16)</f>
        <v>16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IFERROR(__xludf.DUMMYFUNCTION("IMPORTRANGE(""https://docs.google.com/spreadsheets/d/1XL5vhW3sbDhbH9Cz0tuDiY8C3ctxq1tqvaCgkFb8cCA/edit?usp=sharing"",""หนองคาย!J403"")"),442)</f>
        <v>442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IFERROR(__xludf.DUMMYFUNCTION("IMPORTRANGE(""https://docs.google.com/spreadsheets/d/1XL5vhW3sbDhbH9Cz0tuDiY8C3ctxq1tqvaCgkFb8cCA/edit?usp=sharing"",""หนองคาย!J404"")"),32)</f>
        <v>32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IFERROR(__xludf.DUMMYFUNCTION("IMPORTRANGE(""https://docs.google.com/spreadsheets/d/1XL5vhW3sbDhbH9Cz0tuDiY8C3ctxq1tqvaCgkFb8cCA/edit?usp=sharing"",""หนองคาย!J405"")"),80)</f>
        <v>80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IFERROR(__xludf.DUMMYFUNCTION("IMPORTRANGE(""https://docs.google.com/spreadsheets/d/1XL5vhW3sbDhbH9Cz0tuDiY8C3ctxq1tqvaCgkFb8cCA/edit?usp=sharing"",""หนองคาย!J406"")"),6)</f>
        <v>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IFERROR(__xludf.DUMMYFUNCTION("IMPORTRANGE(""https://docs.google.com/spreadsheets/d/1XL5vhW3sbDhbH9Cz0tuDiY8C3ctxq1tqvaCgkFb8cCA/edit?usp=sharing"",""หนองคาย!J407"")"),362)</f>
        <v>362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IFERROR(__xludf.DUMMYFUNCTION("IMPORTRANGE(""https://docs.google.com/spreadsheets/d/1XL5vhW3sbDhbH9Cz0tuDiY8C3ctxq1tqvaCgkFb8cCA/edit?usp=sharing"",""หนองคาย!J408"")"),26)</f>
        <v>26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IFERROR(__xludf.DUMMYFUNCTION("IMPORTRANGE(""https://docs.google.com/spreadsheets/d/1XL5vhW3sbDhbH9Cz0tuDiY8C3ctxq1tqvaCgkFb8cCA/edit?usp=sharing"",""หนองคาย!J409"")"),348)</f>
        <v>348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IFERROR(__xludf.DUMMYFUNCTION("IMPORTRANGE(""https://docs.google.com/spreadsheets/d/1XL5vhW3sbDhbH9Cz0tuDiY8C3ctxq1tqvaCgkFb8cCA/edit?usp=sharing"",""หนองคาย!J410"")"),45)</f>
        <v>45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IFERROR(__xludf.DUMMYFUNCTION("IMPORTRANGE(""https://docs.google.com/spreadsheets/d/1XL5vhW3sbDhbH9Cz0tuDiY8C3ctxq1tqvaCgkFb8cCA/edit?usp=sharing"",""หนองคาย!J418"")"),33)</f>
        <v>33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IFERROR(__xludf.DUMMYFUNCTION("IMPORTRANGE(""https://docs.google.com/spreadsheets/d/1XL5vhW3sbDhbH9Cz0tuDiY8C3ctxq1tqvaCgkFb8cCA/edit?usp=sharing"",""หนองคาย!J419"")"),3)</f>
        <v>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IFERROR(__xludf.DUMMYFUNCTION("IMPORTRANGE(""https://docs.google.com/spreadsheets/d/1XL5vhW3sbDhbH9Cz0tuDiY8C3ctxq1tqvaCgkFb8cCA/edit?usp=sharing"",""หนองคาย!I420"")"),33)</f>
        <v>33</v>
      </c>
      <c r="J525" s="285">
        <f ca="1">IFERROR(__xludf.DUMMYFUNCTION("IMPORTRANGE(""https://docs.google.com/spreadsheets/d/1XL5vhW3sbDhbH9Cz0tuDiY8C3ctxq1tqvaCgkFb8cCA/edit?usp=sharing"",""หนองคาย!J420"")"),0)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IFERROR(__xludf.DUMMYFUNCTION("IMPORTRANGE(""https://docs.google.com/spreadsheets/d/1XL5vhW3sbDhbH9Cz0tuDiY8C3ctxq1tqvaCgkFb8cCA/edit?usp=sharing"",""หนองคาย!I421"")"),3)</f>
        <v>3</v>
      </c>
      <c r="J526" s="285">
        <f ca="1">IFERROR(__xludf.DUMMYFUNCTION("IMPORTRANGE(""https://docs.google.com/spreadsheets/d/1XL5vhW3sbDhbH9Cz0tuDiY8C3ctxq1tqvaCgkFb8cCA/edit?usp=sharing"",""หนองคาย!J421"")"),0)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IFERROR(__xludf.DUMMYFUNCTION("IMPORTRANGE(""https://docs.google.com/spreadsheets/d/1XL5vhW3sbDhbH9Cz0tuDiY8C3ctxq1tqvaCgkFb8cCA/edit?usp=sharing"",""หนองคาย!J459"")"),4671)</f>
        <v>4671</v>
      </c>
      <c r="K564" s="372">
        <f ca="1">IF(I564&gt;0,J564*100/I564,0)</f>
        <v>212.31818181818181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IFERROR(__xludf.DUMMYFUNCTION("IMPORTRANGE(""https://docs.google.com/spreadsheets/d/1XL5vhW3sbDhbH9Cz0tuDiY8C3ctxq1tqvaCgkFb8cCA/edit?usp=sharing"",""หนองคาย!M459"")"),127220.32)</f>
        <v>127220.32</v>
      </c>
      <c r="O564" s="373">
        <f t="shared" ref="O564:O568" ca="1" si="122">+IF(L564&gt;0,N564*100/L564,0)</f>
        <v>88.9403803131991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IFERROR(__xludf.DUMMYFUNCTION("IMPORTRANGE(""https://docs.google.com/spreadsheets/d/1XL5vhW3sbDhbH9Cz0tuDiY8C3ctxq1tqvaCgkFb8cCA/edit?usp=sharing"",""หนองคาย!M461"")"),127220.32)</f>
        <v>127220.32</v>
      </c>
      <c r="O566" s="169">
        <f t="shared" ca="1" si="122"/>
        <v>88.9403803131991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IFERROR(__xludf.DUMMYFUNCTION("IMPORTRANGE(""https://docs.google.com/spreadsheets/d/1XL5vhW3sbDhbH9Cz0tuDiY8C3ctxq1tqvaCgkFb8cCA/edit?usp=sharing"",""หนองคาย!M463"")"),127220.32)</f>
        <v>127220.32</v>
      </c>
      <c r="O568" s="169">
        <f t="shared" ca="1" si="122"/>
        <v>88.9403803131991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IFERROR(__xludf.DUMMYFUNCTION("IMPORTRANGE(""https://docs.google.com/spreadsheets/d/1XL5vhW3sbDhbH9Cz0tuDiY8C3ctxq1tqvaCgkFb8cCA/edit?usp=sharing"",""หนองคาย!M466"")"),83375.33)</f>
        <v>83375.33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IFERROR(__xludf.DUMMYFUNCTION("IMPORTRANGE(""https://docs.google.com/spreadsheets/d/1XL5vhW3sbDhbH9Cz0tuDiY8C3ctxq1tqvaCgkFb8cCA/edit?usp=sharing"",""หนองคาย!J468"")"),4671)</f>
        <v>4671</v>
      </c>
      <c r="K573" s="202">
        <f ca="1">IF(I573&gt;0,J573*100/I573,0)</f>
        <v>212.31818181818181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IFERROR(__xludf.DUMMYFUNCTION("IMPORTRANGE(""https://docs.google.com/spreadsheets/d/1XL5vhW3sbDhbH9Cz0tuDiY8C3ctxq1tqvaCgkFb8cCA/edit?usp=sharing"",""หนองคาย!J472"")"),4660)</f>
        <v>4660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IFERROR(__xludf.DUMMYFUNCTION("IMPORTRANGE(""https://docs.google.com/spreadsheets/d/1XL5vhW3sbDhbH9Cz0tuDiY8C3ctxq1tqvaCgkFb8cCA/edit?usp=sharing"",""หนองคาย!M475"")"),5680)</f>
        <v>5680</v>
      </c>
      <c r="O580" s="373">
        <f t="shared" ref="O580:O584" ca="1" si="124">+IF(L580&gt;0,N580*100/L580,0)</f>
        <v>4.9089934834840028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IFERROR(__xludf.DUMMYFUNCTION("IMPORTRANGE(""https://docs.google.com/spreadsheets/d/1XL5vhW3sbDhbH9Cz0tuDiY8C3ctxq1tqvaCgkFb8cCA/edit?usp=sharing"",""หนองคาย!M477"")"),5680)</f>
        <v>5680</v>
      </c>
      <c r="O582" s="169">
        <f t="shared" ca="1" si="124"/>
        <v>4.9089934834840028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IFERROR(__xludf.DUMMYFUNCTION("IMPORTRANGE(""https://docs.google.com/spreadsheets/d/1XL5vhW3sbDhbH9Cz0tuDiY8C3ctxq1tqvaCgkFb8cCA/edit?usp=sharing"",""หนองคาย!M479"")"),5680)</f>
        <v>5680</v>
      </c>
      <c r="O584" s="169">
        <f t="shared" ca="1" si="124"/>
        <v>4.9089934834840028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IFERROR(__xludf.DUMMYFUNCTION("IMPORTRANGE(""https://docs.google.com/spreadsheets/d/1XL5vhW3sbDhbH9Cz0tuDiY8C3ctxq1tqvaCgkFb8cCA/edit?usp=sharing"",""หนองคาย!M483"")"),5680)</f>
        <v>5680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IFERROR(__xludf.DUMMYFUNCTION("IMPORTRANGE(""https://docs.google.com/spreadsheets/d/1XL5vhW3sbDhbH9Cz0tuDiY8C3ctxq1tqvaCgkFb8cCA/edit?usp=sharing"",""หนองคาย!J484"")"),11)</f>
        <v>11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IFERROR(__xludf.DUMMYFUNCTION("IMPORTRANGE(""https://docs.google.com/spreadsheets/d/1XL5vhW3sbDhbH9Cz0tuDiY8C3ctxq1tqvaCgkFb8cCA/edit?usp=sharing"",""หนองคาย!J485"")"),9.02)</f>
        <v>9.02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IFERROR(__xludf.DUMMYFUNCTION("IMPORTRANGE(""https://docs.google.com/spreadsheets/d/1XL5vhW3sbDhbH9Cz0tuDiY8C3ctxq1tqvaCgkFb8cCA/edit?usp=sharing"",""หนองคาย!M494"")"),2220)</f>
        <v>2220</v>
      </c>
      <c r="O599" s="169">
        <f t="shared" ca="1" si="126"/>
        <v>19.646017699115045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IFERROR(__xludf.DUMMYFUNCTION("IMPORTRANGE(""https://docs.google.com/spreadsheets/d/1XL5vhW3sbDhbH9Cz0tuDiY8C3ctxq1tqvaCgkFb8cCA/edit?usp=sharing"",""หนองคาย!M496"")"),2220)</f>
        <v>2220</v>
      </c>
      <c r="O601" s="169">
        <f t="shared" ca="1" si="126"/>
        <v>19.646017699115045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IFERROR(__xludf.DUMMYFUNCTION("IMPORTRANGE(""https://docs.google.com/spreadsheets/d/1XL5vhW3sbDhbH9Cz0tuDiY8C3ctxq1tqvaCgkFb8cCA/edit?usp=sharing"",""หนองคาย!J166"")"),0)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IFERROR(__xludf.DUMMYFUNCTION("IMPORTRANGE(""https://docs.google.com/spreadsheets/d/1XL5vhW3sbDhbH9Cz0tuDiY8C3ctxq1tqvaCgkFb8cCA/edit?usp=sharing"",""หนองคาย!J166"")"),0)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IFERROR(__xludf.DUMMYFUNCTION("IMPORTRANGE(""https://docs.google.com/spreadsheets/d/1XL5vhW3sbDhbH9Cz0tuDiY8C3ctxq1tqvaCgkFb8cCA/edit?usp=sharing"",""หนองคาย!J523"")"),3113079.06)</f>
        <v>3113079.06</v>
      </c>
      <c r="K628" s="343">
        <f t="shared" ref="K628:K635" ca="1" si="129">IF(I628&gt;0,J628*100/I628,0)</f>
        <v>86.948370034016762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IFERROR(__xludf.DUMMYFUNCTION("IMPORTRANGE(""https://docs.google.com/spreadsheets/d/1XL5vhW3sbDhbH9Cz0tuDiY8C3ctxq1tqvaCgkFb8cCA/edit?usp=sharing"",""หนองคาย!J524"")"),312)</f>
        <v>312</v>
      </c>
      <c r="K629" s="343">
        <f t="shared" ca="1" si="129"/>
        <v>87.394957983193279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IFERROR(__xludf.DUMMYFUNCTION("IMPORTRANGE(""https://docs.google.com/spreadsheets/d/1XL5vhW3sbDhbH9Cz0tuDiY8C3ctxq1tqvaCgkFb8cCA/edit?usp=sharing"",""หนองคาย!J525"")"),244049.92)</f>
        <v>244049.92000000001</v>
      </c>
      <c r="K630" s="343">
        <f t="shared" ca="1" si="129"/>
        <v>44.323681870387702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IFERROR(__xludf.DUMMYFUNCTION("IMPORTRANGE(""https://docs.google.com/spreadsheets/d/1XL5vhW3sbDhbH9Cz0tuDiY8C3ctxq1tqvaCgkFb8cCA/edit?usp=sharing"",""หนองคาย!J526"")"),31)</f>
        <v>31</v>
      </c>
      <c r="K631" s="343">
        <f t="shared" ca="1" si="129"/>
        <v>79.487179487179489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IFERROR(__xludf.DUMMYFUNCTION("IMPORTRANGE(""https://docs.google.com/spreadsheets/d/1XL5vhW3sbDhbH9Cz0tuDiY8C3ctxq1tqvaCgkFb8cCA/edit?usp=sharing"",""หนองคาย!J527"")"),510481.15)</f>
        <v>510481.15</v>
      </c>
      <c r="K632" s="343">
        <f t="shared" ca="1" si="129"/>
        <v>84.558542968548451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IFERROR(__xludf.DUMMYFUNCTION("IMPORTRANGE(""https://docs.google.com/spreadsheets/d/1XL5vhW3sbDhbH9Cz0tuDiY8C3ctxq1tqvaCgkFb8cCA/edit?usp=sharing"",""หนองคาย!J528"")"),92)</f>
        <v>92</v>
      </c>
      <c r="K633" s="343">
        <f t="shared" ca="1" si="129"/>
        <v>110.8433734939759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IFERROR(__xludf.DUMMYFUNCTION("IMPORTRANGE(""https://docs.google.com/spreadsheets/d/1XL5vhW3sbDhbH9Cz0tuDiY8C3ctxq1tqvaCgkFb8cCA/edit?usp=sharing"",""หนองคาย!J529"")"),1800000)</f>
        <v>1800000</v>
      </c>
      <c r="K634" s="343">
        <f t="shared" ca="1" si="129"/>
        <v>35.294117647058826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IFERROR(__xludf.DUMMYFUNCTION("IMPORTRANGE(""https://docs.google.com/spreadsheets/d/1XL5vhW3sbDhbH9Cz0tuDiY8C3ctxq1tqvaCgkFb8cCA/edit?usp=sharing"",""หนองคาย!I530"")"),111)</f>
        <v>111</v>
      </c>
      <c r="J635" s="504">
        <f ca="1">IFERROR(__xludf.DUMMYFUNCTION("IMPORTRANGE(""https://docs.google.com/spreadsheets/d/1XL5vhW3sbDhbH9Cz0tuDiY8C3ctxq1tqvaCgkFb8cCA/edit?usp=sharing"",""หนองคาย!J530"")"),45)</f>
        <v>45</v>
      </c>
      <c r="K635" s="486">
        <f t="shared" ca="1" si="129"/>
        <v>40.54054054054054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1080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1080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1080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IFERROR(__xludf.DUMMYFUNCTION("IMPORTRANGE(""https://docs.google.com/spreadsheets/d/1XL5vhW3sbDhbH9Cz0tuDiY8C3ctxq1tqvaCgkFb8cCA/edit#gid=346597447"",""หนองคาย!J541"")"),0)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IFERROR(__xludf.DUMMYFUNCTION("IMPORTRANGE(""https://docs.google.com/spreadsheets/d/1XL5vhW3sbDhbH9Cz0tuDiY8C3ctxq1tqvaCgkFb8cCA/edit#gid=346597447"",""หนองคาย!J542"")"),0)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IFERROR(__xludf.DUMMYFUNCTION("IMPORTRANGE(""https://docs.google.com/spreadsheets/d/1XL5vhW3sbDhbH9Cz0tuDiY8C3ctxq1tqvaCgkFb8cCA/edit#gid=346597447"",""หนองคาย!I543"")"),0)</f>
        <v>0</v>
      </c>
      <c r="J648" s="585">
        <f ca="1">IFERROR(__xludf.DUMMYFUNCTION("IMPORTRANGE(""https://docs.google.com/spreadsheets/d/1XL5vhW3sbDhbH9Cz0tuDiY8C3ctxq1tqvaCgkFb8cCA/edit#gid=346597447"",""หนองคาย!J543"")"),0)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IFERROR(__xludf.DUMMYFUNCTION("IMPORTRANGE(""https://docs.google.com/spreadsheets/d/1XL5vhW3sbDhbH9Cz0tuDiY8C3ctxq1tqvaCgkFb8cCA/edit#gid=346597447"",""หนองคาย!L543"")"),0)</f>
        <v>0</v>
      </c>
      <c r="M648" s="570"/>
      <c r="N648" s="587">
        <f ca="1">IFERROR(__xludf.DUMMYFUNCTION("IMPORTRANGE(""https://docs.google.com/spreadsheets/d/1XL5vhW3sbDhbH9Cz0tuDiY8C3ctxq1tqvaCgkFb8cCA/edit#gid=346597447"",""หนองคาย!M543"")"),0)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IFERROR(__xludf.DUMMYFUNCTION("IMPORTRANGE(""https://docs.google.com/spreadsheets/d/1XL5vhW3sbDhbH9Cz0tuDiY8C3ctxq1tqvaCgkFb8cCA/edit#gid=346597447"",""หนองคาย!I544"")"),4)</f>
        <v>4</v>
      </c>
      <c r="J649" s="585">
        <f ca="1">IFERROR(__xludf.DUMMYFUNCTION("IMPORTRANGE(""https://docs.google.com/spreadsheets/d/1XL5vhW3sbDhbH9Cz0tuDiY8C3ctxq1tqvaCgkFb8cCA/edit#gid=346597447"",""หนองคาย!J544"")"),0)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IFERROR(__xludf.DUMMYFUNCTION("IMPORTRANGE(""https://docs.google.com/spreadsheets/d/1XL5vhW3sbDhbH9Cz0tuDiY8C3ctxq1tqvaCgkFb8cCA/edit#gid=346597447"",""หนองคาย!L544"")"),480)</f>
        <v>480</v>
      </c>
      <c r="M649" s="570"/>
      <c r="N649" s="587">
        <f ca="1">IFERROR(__xludf.DUMMYFUNCTION("IMPORTRANGE(""https://docs.google.com/spreadsheets/d/1XL5vhW3sbDhbH9Cz0tuDiY8C3ctxq1tqvaCgkFb8cCA/edit#gid=346597447"",""หนองคาย!M544"")"),0)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IFERROR(__xludf.DUMMYFUNCTION("IMPORTRANGE(""https://docs.google.com/spreadsheets/d/1XL5vhW3sbDhbH9Cz0tuDiY8C3ctxq1tqvaCgkFb8cCA/edit#gid=346597447"",""หนองคาย!I545"")"),0)</f>
        <v>0</v>
      </c>
      <c r="J650" s="585">
        <f ca="1">IFERROR(__xludf.DUMMYFUNCTION("IMPORTRANGE(""https://docs.google.com/spreadsheets/d/1XL5vhW3sbDhbH9Cz0tuDiY8C3ctxq1tqvaCgkFb8cCA/edit#gid=346597447"",""หนองคาย!J545"")"),0)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IFERROR(__xludf.DUMMYFUNCTION("IMPORTRANGE(""https://docs.google.com/spreadsheets/d/1XL5vhW3sbDhbH9Cz0tuDiY8C3ctxq1tqvaCgkFb8cCA/edit#gid=346597447"",""หนองคาย!L545"")"),0)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IFERROR(__xludf.DUMMYFUNCTION("IMPORTRANGE(""https://docs.google.com/spreadsheets/d/1XL5vhW3sbDhbH9Cz0tuDiY8C3ctxq1tqvaCgkFb8cCA/edit#gid=346597447"",""หนองคาย!M545"")"),0)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IFERROR(__xludf.DUMMYFUNCTION("IMPORTRANGE(""https://docs.google.com/spreadsheets/d/1XL5vhW3sbDhbH9Cz0tuDiY8C3ctxq1tqvaCgkFb8cCA/edit#gid=346597447"",""หนองคาย!I546"")"),24)</f>
        <v>24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IFERROR(__xludf.DUMMYFUNCTION("IMPORTRANGE(""https://docs.google.com/spreadsheets/d/1XL5vhW3sbDhbH9Cz0tuDiY8C3ctxq1tqvaCgkFb8cCA/edit#gid=346597447"",""หนองคาย!L546"")"),600)</f>
        <v>600</v>
      </c>
      <c r="M651" s="570"/>
      <c r="N651" s="587">
        <f ca="1">IFERROR(__xludf.DUMMYFUNCTION("IMPORTRANGE(""https://docs.google.com/spreadsheets/d/1XL5vhW3sbDhbH9Cz0tuDiY8C3ctxq1tqvaCgkFb8cCA/edit#gid=346597447"",""หนองคาย!M546"")"),0)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IFERROR(__xludf.DUMMYFUNCTION("IMPORTRANGE(""https://docs.google.com/spreadsheets/d/1XL5vhW3sbDhbH9Cz0tuDiY8C3ctxq1tqvaCgkFb8cCA/edit#gid=346597447"",""หนองคาย!J547"")"),0)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IFERROR(__xludf.DUMMYFUNCTION("IMPORTRANGE(""https://docs.google.com/spreadsheets/d/1XL5vhW3sbDhbH9Cz0tuDiY8C3ctxq1tqvaCgkFb8cCA/edit#gid=346597447"",""หนองคาย!J548"")"),0)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IFERROR(__xludf.DUMMYFUNCTION("IMPORTRANGE(""https://docs.google.com/spreadsheets/d/1XL5vhW3sbDhbH9Cz0tuDiY8C3ctxq1tqvaCgkFb8cCA/edit#gid=346597447"",""หนองคาย!J550"")"),0)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IFERROR(__xludf.DUMMYFUNCTION("IMPORTRANGE(""https://docs.google.com/spreadsheets/d/1XL5vhW3sbDhbH9Cz0tuDiY8C3ctxq1tqvaCgkFb8cCA/edit#gid=346597447"",""หนองคาย!J551"")"),0)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IFERROR(__xludf.DUMMYFUNCTION("IMPORTRANGE(""https://docs.google.com/spreadsheets/d/1XL5vhW3sbDhbH9Cz0tuDiY8C3ctxq1tqvaCgkFb8cCA/edit#gid=346597447"",""หนองคาย!J552"")"),0)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IFERROR(__xludf.DUMMYFUNCTION("IMPORTRANGE(""https://docs.google.com/spreadsheets/d/1XL5vhW3sbDhbH9Cz0tuDiY8C3ctxq1tqvaCgkFb8cCA/edit#gid=346597447"",""หนองคาย!J553"")"),0)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IFERROR(__xludf.DUMMYFUNCTION("IMPORTRANGE(""https://docs.google.com/spreadsheets/d/1XL5vhW3sbDhbH9Cz0tuDiY8C3ctxq1tqvaCgkFb8cCA/edit#gid=346597447"",""หนองคาย!J554"")"),0)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IFERROR(__xludf.DUMMYFUNCTION("IMPORTRANGE(""https://docs.google.com/spreadsheets/d/1XL5vhW3sbDhbH9Cz0tuDiY8C3ctxq1tqvaCgkFb8cCA/edit#gid=346597447"",""หนองคาย!J555"")"),0)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IFERROR(__xludf.DUMMYFUNCTION("IMPORTRANGE(""https://docs.google.com/spreadsheets/d/1XL5vhW3sbDhbH9Cz0tuDiY8C3ctxq1tqvaCgkFb8cCA/edit#gid=346597447"",""หนองคาย!J556"")"),0)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IFERROR(__xludf.DUMMYFUNCTION("IMPORTRANGE(""https://docs.google.com/spreadsheets/d/1XL5vhW3sbDhbH9Cz0tuDiY8C3ctxq1tqvaCgkFb8cCA/edit#gid=346597447"",""หนองคาย!L556"")"),0)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IFERROR(__xludf.DUMMYFUNCTION("IMPORTRANGE(""https://docs.google.com/spreadsheets/d/1XL5vhW3sbDhbH9Cz0tuDiY8C3ctxq1tqvaCgkFb8cCA/edit#gid=346597447"",""หนองคาย!M556"")"),0)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IFERROR(__xludf.DUMMYFUNCTION("IMPORTRANGE(""https://docs.google.com/spreadsheets/d/1XL5vhW3sbDhbH9Cz0tuDiY8C3ctxq1tqvaCgkFb8cCA/edit#gid=346597447"",""หนองคาย!J557"")"),0)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IFERROR(__xludf.DUMMYFUNCTION("IMPORTRANGE(""https://docs.google.com/spreadsheets/d/1XL5vhW3sbDhbH9Cz0tuDiY8C3ctxq1tqvaCgkFb8cCA/edit#gid=346597447"",""หนองคาย!I558"")"),0)</f>
        <v>0</v>
      </c>
      <c r="J663" s="585">
        <f ca="1">IFERROR(__xludf.DUMMYFUNCTION("IMPORTRANGE(""https://docs.google.com/spreadsheets/d/1XL5vhW3sbDhbH9Cz0tuDiY8C3ctxq1tqvaCgkFb8cCA/edit#gid=346597447"",""หนองคาย!J558"")"),0)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IFERROR(__xludf.DUMMYFUNCTION("IMPORTRANGE(""https://docs.google.com/spreadsheets/d/1XL5vhW3sbDhbH9Cz0tuDiY8C3ctxq1tqvaCgkFb8cCA/edit#gid=346597447"",""หนองคาย!I560"")"),0)</f>
        <v>0</v>
      </c>
      <c r="J665" s="585">
        <f ca="1">IFERROR(__xludf.DUMMYFUNCTION("IMPORTRANGE(""https://docs.google.com/spreadsheets/d/1XL5vhW3sbDhbH9Cz0tuDiY8C3ctxq1tqvaCgkFb8cCA/edit#gid=346597447"",""หนองคาย!J560"")"),0)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IFERROR(__xludf.DUMMYFUNCTION("IMPORTRANGE(""https://docs.google.com/spreadsheets/d/1XL5vhW3sbDhbH9Cz0tuDiY8C3ctxq1tqvaCgkFb8cCA/edit#gid=346597447"",""หนองคาย!L560"")"),0)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IFERROR(__xludf.DUMMYFUNCTION("IMPORTRANGE(""https://docs.google.com/spreadsheets/d/1XL5vhW3sbDhbH9Cz0tuDiY8C3ctxq1tqvaCgkFb8cCA/edit#gid=346597447"",""หนองคาย!M560"")"),0)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IFERROR(__xludf.DUMMYFUNCTION("IMPORTRANGE(""https://docs.google.com/spreadsheets/d/1XL5vhW3sbDhbH9Cz0tuDiY8C3ctxq1tqvaCgkFb8cCA/edit#gid=346597447"",""หนองคาย!J561"")"),0)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IFERROR(__xludf.DUMMYFUNCTION("IMPORTRANGE(""https://docs.google.com/spreadsheets/d/1XL5vhW3sbDhbH9Cz0tuDiY8C3ctxq1tqvaCgkFb8cCA/edit#gid=346597447"",""หนองคาย!J562"")"),0)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IFERROR(__xludf.DUMMYFUNCTION("IMPORTRANGE(""https://docs.google.com/spreadsheets/d/1XL5vhW3sbDhbH9Cz0tuDiY8C3ctxq1tqvaCgkFb8cCA/edit#gid=346597447"",""หนองคาย!I563"")"),0)</f>
        <v>0</v>
      </c>
      <c r="J668" s="585">
        <f ca="1">IFERROR(__xludf.DUMMYFUNCTION("IMPORTRANGE(""https://docs.google.com/spreadsheets/d/1XL5vhW3sbDhbH9Cz0tuDiY8C3ctxq1tqvaCgkFb8cCA/edit#gid=346597447"",""หนองคาย!J563"")"),0)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IFERROR(__xludf.DUMMYFUNCTION("IMPORTRANGE(""https://docs.google.com/spreadsheets/d/1XL5vhW3sbDhbH9Cz0tuDiY8C3ctxq1tqvaCgkFb8cCA/edit#gid=346597447"",""หนองคาย!L563"")"),0)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IFERROR(__xludf.DUMMYFUNCTION("IMPORTRANGE(""https://docs.google.com/spreadsheets/d/1XL5vhW3sbDhbH9Cz0tuDiY8C3ctxq1tqvaCgkFb8cCA/edit#gid=346597447"",""หนองคาย!M563"")"),0)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IFERROR(__xludf.DUMMYFUNCTION("IMPORTRANGE(""https://docs.google.com/spreadsheets/d/1XL5vhW3sbDhbH9Cz0tuDiY8C3ctxq1tqvaCgkFb8cCA/edit#gid=346597447"",""หนองคาย!J564"")"),0)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IFERROR(__xludf.DUMMYFUNCTION("IMPORTRANGE(""https://docs.google.com/spreadsheets/d/1XL5vhW3sbDhbH9Cz0tuDiY8C3ctxq1tqvaCgkFb8cCA/edit#gid=346597447"",""หนองคาย!J565"")"),0)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IFERROR(__xludf.DUMMYFUNCTION("IMPORTRANGE(""https://docs.google.com/spreadsheets/d/1XL5vhW3sbDhbH9Cz0tuDiY8C3ctxq1tqvaCgkFb8cCA/edit#gid=346597447"",""หนองคาย!I566"")"),0)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IFERROR(__xludf.DUMMYFUNCTION("IMPORTRANGE(""https://docs.google.com/spreadsheets/d/1XL5vhW3sbDhbH9Cz0tuDiY8C3ctxq1tqvaCgkFb8cCA/edit#gid=346597447"",""หนองคาย!L566"")"),0)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IFERROR(__xludf.DUMMYFUNCTION("IMPORTRANGE(""https://docs.google.com/spreadsheets/d/1XL5vhW3sbDhbH9Cz0tuDiY8C3ctxq1tqvaCgkFb8cCA/edit#gid=346597447"",""หนองคาย!M566"")"),0)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IFERROR(__xludf.DUMMYFUNCTION("IMPORTRANGE(""https://docs.google.com/spreadsheets/d/1XL5vhW3sbDhbH9Cz0tuDiY8C3ctxq1tqvaCgkFb8cCA/edit#gid=346597447"",""หนองคาย!J567"")"),0)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IFERROR(__xludf.DUMMYFUNCTION("IMPORTRANGE(""https://docs.google.com/spreadsheets/d/1XL5vhW3sbDhbH9Cz0tuDiY8C3ctxq1tqvaCgkFb8cCA/edit#gid=346597447"",""หนองคาย!J568"")"),0)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IFERROR(__xludf.DUMMYFUNCTION("IMPORTRANGE(""https://docs.google.com/spreadsheets/d/1XL5vhW3sbDhbH9Cz0tuDiY8C3ctxq1tqvaCgkFb8cCA/edit#gid=346597447"",""หนองคาย!J569"")"),0)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IFERROR(__xludf.DUMMYFUNCTION("IMPORTRANGE(""https://docs.google.com/spreadsheets/d/1XL5vhW3sbDhbH9Cz0tuDiY8C3ctxq1tqvaCgkFb8cCA/edit#gid=346597447"",""หนองคาย!J570"")"),0)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IFERROR(__xludf.DUMMYFUNCTION("IMPORTRANGE(""https://docs.google.com/spreadsheets/d/1XL5vhW3sbDhbH9Cz0tuDiY8C3ctxq1tqvaCgkFb8cCA/edit#gid=346597447"",""หนองคาย!J571"")"),0)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IFERROR(__xludf.DUMMYFUNCTION("IMPORTRANGE(""https://docs.google.com/spreadsheets/d/1XL5vhW3sbDhbH9Cz0tuDiY8C3ctxq1tqvaCgkFb8cCA/edit#gid=346597447"",""หนองคาย!J572"")"),0)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14062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7866341</v>
      </c>
      <c r="M8" s="23">
        <f t="shared" ca="1" si="0"/>
        <v>3898706</v>
      </c>
      <c r="N8" s="23">
        <f t="shared" ca="1" si="0"/>
        <v>5115799.53</v>
      </c>
      <c r="O8" s="22">
        <f t="shared" ref="O8:O16" ca="1" si="1">IF(L8&gt;0,N8*100/L8,0)</f>
        <v>65.034042256749359</v>
      </c>
      <c r="P8" s="22">
        <f t="shared" ref="P8:P16" ca="1" si="2">IF(M8&gt;0,N8*100/M8,0)</f>
        <v>131.21788434419011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7866341</v>
      </c>
      <c r="M10" s="30">
        <f t="shared" ca="1" si="4"/>
        <v>3898706</v>
      </c>
      <c r="N10" s="30">
        <f t="shared" ca="1" si="4"/>
        <v>5115799.53</v>
      </c>
      <c r="O10" s="29">
        <f t="shared" ca="1" si="1"/>
        <v>65.034042256749359</v>
      </c>
      <c r="P10" s="29">
        <f t="shared" ca="1" si="2"/>
        <v>131.21788434419011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6847241</v>
      </c>
      <c r="M12" s="38">
        <f t="shared" ca="1" si="6"/>
        <v>2879606</v>
      </c>
      <c r="N12" s="38">
        <f t="shared" ca="1" si="6"/>
        <v>4096699.5300000003</v>
      </c>
      <c r="O12" s="38">
        <f t="shared" ca="1" si="1"/>
        <v>59.829930478567938</v>
      </c>
      <c r="P12" s="38">
        <f t="shared" ca="1" si="2"/>
        <v>142.26597423397507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4960241</v>
      </c>
      <c r="M14" s="38">
        <f t="shared" si="8"/>
        <v>0</v>
      </c>
      <c r="N14" s="38">
        <f t="shared" ca="1" si="8"/>
        <v>1773114.4200000002</v>
      </c>
      <c r="O14" s="38">
        <f t="shared" ca="1" si="1"/>
        <v>35.746537718631018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4404805</v>
      </c>
      <c r="M18" s="23">
        <f t="shared" ca="1" si="11"/>
        <v>3898706</v>
      </c>
      <c r="N18" s="23">
        <f t="shared" ca="1" si="11"/>
        <v>3342685.1100000003</v>
      </c>
      <c r="O18" s="22">
        <f t="shared" ref="O18:O20" ca="1" si="12">IF(L18&gt;0,N18*100/L18,0)</f>
        <v>75.887243816695644</v>
      </c>
      <c r="P18" s="22">
        <f t="shared" ref="P18:P26" ca="1" si="13">IF(M18&gt;0,N18*100/M18,0)</f>
        <v>85.738322150990626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4404805</v>
      </c>
      <c r="M20" s="30">
        <f t="shared" ca="1" si="15"/>
        <v>3898706</v>
      </c>
      <c r="N20" s="30">
        <f t="shared" ca="1" si="15"/>
        <v>3342685.1100000003</v>
      </c>
      <c r="O20" s="29">
        <f t="shared" ca="1" si="12"/>
        <v>75.887243816695644</v>
      </c>
      <c r="P20" s="29">
        <f t="shared" ca="1" si="13"/>
        <v>85.738322150990626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3385705</v>
      </c>
      <c r="M22" s="41">
        <f t="shared" ca="1" si="18"/>
        <v>2879606</v>
      </c>
      <c r="N22" s="38">
        <f t="shared" ca="1" si="18"/>
        <v>2323585.1100000003</v>
      </c>
      <c r="O22" s="38">
        <f t="shared" ca="1" si="17"/>
        <v>68.629284299724887</v>
      </c>
      <c r="P22" s="38">
        <f t="shared" ca="1" si="13"/>
        <v>80.691077529356463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3461536</v>
      </c>
      <c r="M28" s="23">
        <f t="shared" si="23"/>
        <v>0</v>
      </c>
      <c r="N28" s="23">
        <f t="shared" ca="1" si="23"/>
        <v>1773114.4200000002</v>
      </c>
      <c r="O28" s="22">
        <f t="shared" ref="O28:O30" ca="1" si="24">IF(L28&gt;0,N28*100/L28,0)</f>
        <v>51.223341892154245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3461536</v>
      </c>
      <c r="M30" s="30">
        <f t="shared" si="27"/>
        <v>0</v>
      </c>
      <c r="N30" s="30">
        <f t="shared" ca="1" si="27"/>
        <v>1773114.4200000002</v>
      </c>
      <c r="O30" s="29">
        <f t="shared" ca="1" si="24"/>
        <v>51.223341892154245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3461536</v>
      </c>
      <c r="M32" s="38">
        <f t="shared" si="30"/>
        <v>0</v>
      </c>
      <c r="N32" s="38">
        <f t="shared" ca="1" si="30"/>
        <v>1773114.4200000002</v>
      </c>
      <c r="O32" s="38">
        <f t="shared" ca="1" si="29"/>
        <v>51.223341892154245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3461536</v>
      </c>
      <c r="M34" s="38">
        <f t="shared" si="32"/>
        <v>0</v>
      </c>
      <c r="N34" s="38">
        <f t="shared" ca="1" si="32"/>
        <v>1773114.4200000002</v>
      </c>
      <c r="O34" s="38">
        <f t="shared" ca="1" si="29"/>
        <v>51.223341892154245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4404805</v>
      </c>
      <c r="M37" s="54">
        <f t="shared" ca="1" si="33"/>
        <v>3898706</v>
      </c>
      <c r="N37" s="54">
        <f t="shared" ca="1" si="33"/>
        <v>3342685.1100000003</v>
      </c>
      <c r="O37" s="55">
        <f t="shared" ca="1" si="29"/>
        <v>75.887243816695644</v>
      </c>
      <c r="P37" s="55">
        <f t="shared" ca="1" si="25"/>
        <v>85.738322150990626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1457000</v>
      </c>
      <c r="N41" s="78">
        <f t="shared" ca="1" si="34"/>
        <v>1352870.56</v>
      </c>
      <c r="O41" s="77">
        <f t="shared" ref="O41:O43" ca="1" si="35">IF(L41&gt;0,N41*100/L41,0)</f>
        <v>83.546628790217994</v>
      </c>
      <c r="P41" s="77">
        <f t="shared" ref="P41:P43" ca="1" si="36">IF(M41&gt;0,N41*100/M41,0)</f>
        <v>92.853161290322575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1457000</v>
      </c>
      <c r="N43" s="78">
        <f t="shared" ca="1" si="38"/>
        <v>1352870.56</v>
      </c>
      <c r="O43" s="77">
        <f t="shared" ca="1" si="35"/>
        <v>83.546628790217994</v>
      </c>
      <c r="P43" s="77">
        <f t="shared" ca="1" si="36"/>
        <v>92.853161290322575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2">
        <f ca="1">IFERROR(__xludf.DUMMYFUNCTION("IMPORTRANGE(""https://docs.google.com/spreadsheets/d/1Yj_ptqi66GCucihVvJfMjLAmec39IyEx_6qawtMGysU/edit?usp=sharing"",""สบก!Q54"")"),486800)</f>
        <v>486800</v>
      </c>
      <c r="N45" s="622">
        <f ca="1">IFERROR(__xludf.DUMMYFUNCTION("IMPORTRANGE(""https://docs.google.com/spreadsheets/d/1Yj_ptqi66GCucihVvJfMjLAmec39IyEx_6qawtMGysU/edit?usp=sharing"",""สบก!R54"")"),382670.56)</f>
        <v>382670.56</v>
      </c>
      <c r="O45" s="623">
        <f ca="1">IF(L45&gt;0,N45*100/L45,0)</f>
        <v>58.954022492682178</v>
      </c>
      <c r="P45" s="623">
        <f ca="1">IF(M45&gt;0,N45*100/M45,0)</f>
        <v>78.609400164338538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IFERROR(__xludf.DUMMYFUNCTION("IMPORTRANGE(""https://docs.google.com/spreadsheets/d/1Yj_ptqi66GCucihVvJfMjLAmec39IyEx_6qawtMGysU/edit?usp=sharing"",""สบก!M54"")"),649100)</f>
        <v>649100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IFERROR(__xludf.DUMMYFUNCTION("IMPORTRANGE(""https://docs.google.com/spreadsheets/d/1Yj_ptqi66GCucihVvJfMjLAmec39IyEx_6qawtMGysU/edit?usp=sharing"",""สบก!N54"")"),0)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IFERROR(__xludf.DUMMYFUNCTION("IMPORTRANGE(""https://docs.google.com/spreadsheets/d/1Yj_ptqi66GCucihVvJfMjLAmec39IyEx_6qawtMGysU/edit?usp=sharing"",""สบก!O54"")"),970200)</f>
        <v>970200</v>
      </c>
      <c r="M49" s="625">
        <f ca="1">L49</f>
        <v>970200</v>
      </c>
      <c r="N49" s="622">
        <f ca="1">IFERROR(__xludf.DUMMYFUNCTION("IMPORTRANGE(""https://docs.google.com/spreadsheets/d/1Yj_ptqi66GCucihVvJfMjLAmec39IyEx_6qawtMGysU/edit?usp=sharing"",""สบก!S54"")"),970200)</f>
        <v>970200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474536</v>
      </c>
      <c r="N53" s="121">
        <f t="shared" ca="1" si="39"/>
        <v>468094</v>
      </c>
      <c r="O53" s="120">
        <f t="shared" ref="O53:O55" ca="1" si="40">IF(L53&gt;0,N53*100/L53,0)</f>
        <v>77.396494708994709</v>
      </c>
      <c r="P53" s="120">
        <f t="shared" ref="P53:P55" ca="1" si="41">IF(M53&gt;0,N53*100/M53,0)</f>
        <v>98.642463374749227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474536</v>
      </c>
      <c r="N55" s="121">
        <f t="shared" ca="1" si="43"/>
        <v>468094</v>
      </c>
      <c r="O55" s="120">
        <f t="shared" ca="1" si="40"/>
        <v>77.396494708994709</v>
      </c>
      <c r="P55" s="120">
        <f t="shared" ca="1" si="41"/>
        <v>98.642463374749227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622">
        <f ca="1">IFERROR(__xludf.DUMMYFUNCTION("IMPORTRANGE(""https://docs.google.com/spreadsheets/d/1Yj_ptqi66GCucihVvJfMjLAmec39IyEx_6qawtMGysU/edit?usp=sharing"",""สบก!Z54"")"),474536)</f>
        <v>474536</v>
      </c>
      <c r="N57" s="622">
        <f ca="1">IFERROR(__xludf.DUMMYFUNCTION("IMPORTRANGE(""https://docs.google.com/spreadsheets/d/1Yj_ptqi66GCucihVvJfMjLAmec39IyEx_6qawtMGysU/edit?usp=sharing"",""สบก!AA54"")"),468094)</f>
        <v>468094</v>
      </c>
      <c r="O57" s="623">
        <f ca="1">IF(L57&gt;0,N57*100/L57,0)</f>
        <v>77.396494708994709</v>
      </c>
      <c r="P57" s="623">
        <f ca="1">IF(M57&gt;0,N57*100/M57,0)</f>
        <v>98.642463374749227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IFERROR(__xludf.DUMMYFUNCTION("IMPORTRANGE(""https://docs.google.com/spreadsheets/d/1Yj_ptqi66GCucihVvJfMjLAmec39IyEx_6qawtMGysU/edit?usp=sharing"",""สบก!V54"")"),604800)</f>
        <v>604800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IFERROR(__xludf.DUMMYFUNCTION("IMPORTRANGE(""https://docs.google.com/spreadsheets/d/1Yj_ptqi66GCucihVvJfMjLAmec39IyEx_6qawtMGysU/edit?usp=sharing"",""สบก!W54"")"),0)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IFERROR(__xludf.DUMMYFUNCTION("IMPORTRANGE(""https://docs.google.com/spreadsheets/d/1Yj_ptqi66GCucihVvJfMjLAmec39IyEx_6qawtMGysU/edit?usp=sharing"",""สบก!X54"")"),0)</f>
        <v>0</v>
      </c>
      <c r="M61" s="625"/>
      <c r="N61" s="622">
        <f ca="1">IFERROR(__xludf.DUMMYFUNCTION("IMPORTRANGE(""https://docs.google.com/spreadsheets/d/1Yj_ptqi66GCucihVvJfMjLAmec39IyEx_6qawtMGysU/edit?usp=sharing"",""สบก!AB54"")"),0)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493620</v>
      </c>
      <c r="N66" s="152">
        <f t="shared" ca="1" si="45"/>
        <v>453155.02</v>
      </c>
      <c r="O66" s="151">
        <f t="shared" ref="O66:O68" ca="1" si="46">IF(L66&gt;0,N66*100/L66,0)</f>
        <v>73.803749185667755</v>
      </c>
      <c r="P66" s="151">
        <f t="shared" ref="P66:P68" ca="1" si="47">IF(M66&gt;0,N66*100/M66,0)</f>
        <v>91.802402657914996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493620</v>
      </c>
      <c r="N68" s="157">
        <f t="shared" ca="1" si="49"/>
        <v>453155.02</v>
      </c>
      <c r="O68" s="156">
        <f t="shared" ca="1" si="46"/>
        <v>73.803749185667755</v>
      </c>
      <c r="P68" s="156">
        <f t="shared" ca="1" si="47"/>
        <v>91.802402657914996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614000</v>
      </c>
      <c r="M70" s="626">
        <f ca="1">IFERROR(__xludf.DUMMYFUNCTION("IMPORTRANGE(""https://docs.google.com/spreadsheets/d/1Yj_ptqi66GCucihVvJfMjLAmec39IyEx_6qawtMGysU/edit?usp=sharing"",""สบก!AI54"")"),493620)</f>
        <v>493620</v>
      </c>
      <c r="N70" s="627">
        <f ca="1">IFERROR(__xludf.DUMMYFUNCTION("IMPORTRANGE(""https://docs.google.com/spreadsheets/d/1Yj_ptqi66GCucihVvJfMjLAmec39IyEx_6qawtMGysU/edit?usp=sharing"",""สบก!AJ54"")"),453155.02)</f>
        <v>453155.02</v>
      </c>
      <c r="O70" s="169">
        <f ca="1">IF(L70&gt;0,N70*100/L70,0)</f>
        <v>73.803749185667755</v>
      </c>
      <c r="P70" s="169">
        <f ca="1">IF(M70&gt;0,N70*100/M70,0)</f>
        <v>91.802402657914996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IFERROR(__xludf.DUMMYFUNCTION("IMPORTRANGE(""https://docs.google.com/spreadsheets/d/1Yj_ptqi66GCucihVvJfMjLAmec39IyEx_6qawtMGysU/edit?usp=sharing"",""สบก!AF54"")"),382000)</f>
        <v>382000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IFERROR(__xludf.DUMMYFUNCTION("IMPORTRANGE(""https://docs.google.com/spreadsheets/d/1Yj_ptqi66GCucihVvJfMjLAmec39IyEx_6qawtMGysU/edit?usp=sharing"",""สบก!AG54"")"),0)</f>
        <v>0</v>
      </c>
      <c r="M74" s="625"/>
      <c r="N74" s="622">
        <f ca="1">IFERROR(__xludf.DUMMYFUNCTION("IMPORTRANGE(""https://docs.google.com/spreadsheets/d/1Yj_ptqi66GCucihVvJfMjLAmec39IyEx_6qawtMGysU/edit?usp=sharing"",""สบก!AK54"")"),0)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IFERROR(__xludf.DUMMYFUNCTION("IMPORTRANGE(""https://docs.google.com/spreadsheets/d/1Yj_ptqi66GCucihVvJfMjLAmec39IyEx_6qawtMGysU/edit?usp=sharing"",""สบก!AR54"")"),0)</f>
        <v>0</v>
      </c>
      <c r="N98" s="627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IFERROR(__xludf.DUMMYFUNCTION("IMPORTRANGE(""https://docs.google.com/spreadsheets/d/1Yj_ptqi66GCucihVvJfMjLAmec39IyEx_6qawtMGysU/edit?usp=sharing"",""สบก!AP54"")"),0)</f>
        <v>0</v>
      </c>
      <c r="M102" s="625"/>
      <c r="N102" s="622">
        <f ca="1">IFERROR(__xludf.DUMMYFUNCTION("IMPORTRANGE(""https://docs.google.com/spreadsheets/d/1Yj_ptqi66GCucihVvJfMjLAmec39IyEx_6qawtMGysU/edit?usp=sharing"",""สบก!AT54"")"),0)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IFERROR(__xludf.DUMMYFUNCTION("IMPORTRANGE(""https://docs.google.com/spreadsheets/d/1Yj_ptqi66GCucihVvJfMjLAmec39IyEx_6qawtMGysU/edit?usp=sharing"",""สบก!BA54"")"),0)</f>
        <v>0</v>
      </c>
      <c r="N122" s="627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IFERROR(__xludf.DUMMYFUNCTION("IMPORTRANGE(""https://docs.google.com/spreadsheets/d/1Yj_ptqi66GCucihVvJfMjLAmec39IyEx_6qawtMGysU/edit?usp=sharing"",""สบก!AY54"")"),0)</f>
        <v>0</v>
      </c>
      <c r="M126" s="625"/>
      <c r="N126" s="622">
        <f ca="1">IFERROR(__xludf.DUMMYFUNCTION("IMPORTRANGE(""https://docs.google.com/spreadsheets/d/1Yj_ptqi66GCucihVvJfMjLAmec39IyEx_6qawtMGysU/edit?usp=sharing"",""สบก!BC54"")"),0)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212100</v>
      </c>
      <c r="M140" s="152">
        <f t="shared" ca="1" si="64"/>
        <v>281525</v>
      </c>
      <c r="N140" s="152">
        <f t="shared" ca="1" si="64"/>
        <v>269061.98</v>
      </c>
      <c r="O140" s="151">
        <f t="shared" ref="O140:O142" ca="1" si="65">IF(L140&gt;0,N140*100/L140,0)</f>
        <v>126.85619047619048</v>
      </c>
      <c r="P140" s="151">
        <f t="shared" ref="P140:P142" ca="1" si="66">IF(M140&gt;0,N140*100/M140,0)</f>
        <v>95.573032590356092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212100</v>
      </c>
      <c r="M142" s="157">
        <f t="shared" ca="1" si="68"/>
        <v>281525</v>
      </c>
      <c r="N142" s="157">
        <f t="shared" ca="1" si="68"/>
        <v>269061.98</v>
      </c>
      <c r="O142" s="156">
        <f t="shared" ca="1" si="65"/>
        <v>126.85619047619048</v>
      </c>
      <c r="P142" s="156">
        <f t="shared" ca="1" si="66"/>
        <v>95.573032590356092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212100</v>
      </c>
      <c r="M144" s="626">
        <f ca="1">IFERROR(__xludf.DUMMYFUNCTION("IMPORTRANGE(""https://docs.google.com/spreadsheets/d/1Yj_ptqi66GCucihVvJfMjLAmec39IyEx_6qawtMGysU/edit?usp=sharing"",""สบก!BJ54"")"),281525)</f>
        <v>281525</v>
      </c>
      <c r="N144" s="627">
        <f ca="1">IFERROR(__xludf.DUMMYFUNCTION("IMPORTRANGE(""https://docs.google.com/spreadsheets/d/1Yj_ptqi66GCucihVvJfMjLAmec39IyEx_6qawtMGysU/edit?usp=sharing"",""สบก!BK54"")"),269061.98)</f>
        <v>269061.98</v>
      </c>
      <c r="O144" s="169">
        <f ca="1">IF(L144&gt;0,N144*100/L144,0)</f>
        <v>126.85619047619048</v>
      </c>
      <c r="P144" s="169">
        <f ca="1">IF(M144&gt;0,N144*100/M144,0)</f>
        <v>95.573032590356092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IFERROR(__xludf.DUMMYFUNCTION("IMPORTRANGE(""https://docs.google.com/spreadsheets/d/1Yj_ptqi66GCucihVvJfMjLAmec39IyEx_6qawtMGysU/edit?usp=sharing"",""สบก!BG54"")"),117000)</f>
        <v>117000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IFERROR(__xludf.DUMMYFUNCTION("IMPORTRANGE(""https://docs.google.com/spreadsheets/d/1Yj_ptqi66GCucihVvJfMjLAmec39IyEx_6qawtMGysU/edit?usp=sharing"",""สบก!BH54"")"),0)</f>
        <v>0</v>
      </c>
      <c r="M148" s="625"/>
      <c r="N148" s="622">
        <f ca="1">IFERROR(__xludf.DUMMYFUNCTION("IMPORTRANGE(""https://docs.google.com/spreadsheets/d/1Yj_ptqi66GCucihVvJfMjLAmec39IyEx_6qawtMGysU/edit?usp=sharing"",""สบก!BL54"")"),0)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6">
        <f ca="1">IFERROR(__xludf.DUMMYFUNCTION("IMPORTRANGE(""https://docs.google.com/spreadsheets/d/1Yj_ptqi66GCucihVvJfMjLAmec39IyEx_6qawtMGysU/edit?usp=sharing"",""สบก!BS54"")"),19295)</f>
        <v>19295</v>
      </c>
      <c r="N224" s="627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IFERROR(__xludf.DUMMYFUNCTION("IMPORTRANGE(""https://docs.google.com/spreadsheets/d/1Yj_ptqi66GCucihVvJfMjLAmec39IyEx_6qawtMGysU/edit?usp=sharing"",""สบก!BQ54"")"),0)</f>
        <v>0</v>
      </c>
      <c r="M228" s="625"/>
      <c r="N228" s="622">
        <f ca="1">IFERROR(__xludf.DUMMYFUNCTION("IMPORTRANGE(""https://docs.google.com/spreadsheets/d/1Yj_ptqi66GCucihVvJfMjLAmec39IyEx_6qawtMGysU/edit?usp=sharing"",""สบก!BU54"")"),0)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IFERROR(__xludf.DUMMYFUNCTION("IMPORTRANGE(""https://docs.google.com/spreadsheets/d/1Yj_ptqi66GCucihVvJfMjLAmec39IyEx_6qawtMGysU/edit?usp=sharing"",""สบก!CB54"")"),0)</f>
        <v>0</v>
      </c>
      <c r="N254" s="627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IFERROR(__xludf.DUMMYFUNCTION("IMPORTRANGE(""https://docs.google.com/spreadsheets/d/1Yj_ptqi66GCucihVvJfMjLAmec39IyEx_6qawtMGysU/edit?usp=sharing"",""สบก!BZ54"")"),0)</f>
        <v>0</v>
      </c>
      <c r="M258" s="625"/>
      <c r="N258" s="622">
        <f ca="1">IFERROR(__xludf.DUMMYFUNCTION("IMPORTRANGE(""https://docs.google.com/spreadsheets/d/1Yj_ptqi66GCucihVvJfMjLAmec39IyEx_6qawtMGysU/edit?usp=sharing"",""สบก!CD54"")"),0)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IFERROR(__xludf.DUMMYFUNCTION("IMPORTRANGE(""https://docs.google.com/spreadsheets/d/1Yj_ptqi66GCucihVvJfMjLAmec39IyEx_6qawtMGysU/edit?usp=sharing"",""สบก!CK54"")"),0)</f>
        <v>0</v>
      </c>
      <c r="N275" s="627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IFERROR(__xludf.DUMMYFUNCTION("IMPORTRANGE(""https://docs.google.com/spreadsheets/d/1Yj_ptqi66GCucihVvJfMjLAmec39IyEx_6qawtMGysU/edit?usp=sharing"",""สบก!CI54"")"),0)</f>
        <v>0</v>
      </c>
      <c r="M279" s="625"/>
      <c r="N279" s="622">
        <f ca="1">IFERROR(__xludf.DUMMYFUNCTION("IMPORTRANGE(""https://docs.google.com/spreadsheets/d/1Yj_ptqi66GCucihVvJfMjLAmec39IyEx_6qawtMGysU/edit?usp=sharing"",""สบก!CM54"")"),0)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IFERROR(__xludf.DUMMYFUNCTION("IMPORTRANGE(""https://docs.google.com/spreadsheets/d/1Yj_ptqi66GCucihVvJfMjLAmec39IyEx_6qawtMGysU/edit?usp=sharing"",""สบก!CT54"")"),0)</f>
        <v>0</v>
      </c>
      <c r="N294" s="627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IFERROR(__xludf.DUMMYFUNCTION("IMPORTRANGE(""https://docs.google.com/spreadsheets/d/1Yj_ptqi66GCucihVvJfMjLAmec39IyEx_6qawtMGysU/edit?usp=sharing"",""สบก!CR54"")"),0)</f>
        <v>0</v>
      </c>
      <c r="M298" s="625"/>
      <c r="N298" s="622">
        <f ca="1">IFERROR(__xludf.DUMMYFUNCTION("IMPORTRANGE(""https://docs.google.com/spreadsheets/d/1Yj_ptqi66GCucihVvJfMjLAmec39IyEx_6qawtMGysU/edit?usp=sharing"",""สบก!CV54"")"),0)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IFERROR(__xludf.DUMMYFUNCTION("IMPORTRANGE(""https://docs.google.com/spreadsheets/d/1Yj_ptqi66GCucihVvJfMjLAmec39IyEx_6qawtMGysU/edit?usp=sharing"",""สบก!DC54"")"),0)</f>
        <v>0</v>
      </c>
      <c r="N314" s="627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IFERROR(__xludf.DUMMYFUNCTION("IMPORTRANGE(""https://docs.google.com/spreadsheets/d/1Yj_ptqi66GCucihVvJfMjLAmec39IyEx_6qawtMGysU/edit?usp=sharing"",""สบก!DA54"")"),0)</f>
        <v>0</v>
      </c>
      <c r="M318" s="625"/>
      <c r="N318" s="622">
        <f ca="1">IFERROR(__xludf.DUMMYFUNCTION("IMPORTRANGE(""https://docs.google.com/spreadsheets/d/1Yj_ptqi66GCucihVvJfMjLAmec39IyEx_6qawtMGysU/edit?usp=sharing"",""สบก!DE54"")"),0)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IFERROR(__xludf.DUMMYFUNCTION("IMPORTRANGE(""https://docs.google.com/spreadsheets/d/1XL5vhW3sbDhbH9Cz0tuDiY8C3ctxq1tqvaCgkFb8cCA/edit?usp=sharing"",""หนองบัวลำภู!J228"")"),327)</f>
        <v>327</v>
      </c>
      <c r="K328" s="318">
        <f ca="1">IF(I328&gt;0,J328*100/I328,0)</f>
        <v>38.928571428571431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1172730</v>
      </c>
      <c r="N329" s="152">
        <f t="shared" ca="1" si="98"/>
        <v>780208.55</v>
      </c>
      <c r="O329" s="151">
        <f t="shared" ref="O329:O331" ca="1" si="99">IF(L329&gt;0,N329*100/L329,0)</f>
        <v>58.429020227512716</v>
      </c>
      <c r="P329" s="151">
        <f t="shared" ref="P329:P331" ca="1" si="100">IF(M329&gt;0,N329*100/M329,0)</f>
        <v>66.529256521108863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1172730</v>
      </c>
      <c r="N331" s="157">
        <f t="shared" ca="1" si="102"/>
        <v>780208.55</v>
      </c>
      <c r="O331" s="156">
        <f t="shared" ca="1" si="99"/>
        <v>58.429020227512716</v>
      </c>
      <c r="P331" s="156">
        <f t="shared" ca="1" si="100"/>
        <v>66.529256521108863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6">
        <f ca="1">IFERROR(__xludf.DUMMYFUNCTION("IMPORTRANGE(""https://docs.google.com/spreadsheets/d/1Yj_ptqi66GCucihVvJfMjLAmec39IyEx_6qawtMGysU/edit?usp=sharing"",""สบก!DL54"")"),1123830)</f>
        <v>1123830</v>
      </c>
      <c r="N333" s="627">
        <f ca="1">IFERROR(__xludf.DUMMYFUNCTION("IMPORTRANGE(""https://docs.google.com/spreadsheets/d/1Yj_ptqi66GCucihVvJfMjLAmec39IyEx_6qawtMGysU/edit?usp=sharing"",""สบก!DM54"")"),731308.55)</f>
        <v>731308.55</v>
      </c>
      <c r="O333" s="169">
        <f ca="1">IF(L333&gt;0,N333*100/L333,0)</f>
        <v>56.848792375681157</v>
      </c>
      <c r="P333" s="169">
        <f ca="1">IF(M333&gt;0,N333*100/M333,0)</f>
        <v>65.072880239893934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IFERROR(__xludf.DUMMYFUNCTION("IMPORTRANGE(""https://docs.google.com/spreadsheets/d/1Yj_ptqi66GCucihVvJfMjLAmec39IyEx_6qawtMGysU/edit?usp=sharing"",""สบก!DJ54"")"),48900)</f>
        <v>48900</v>
      </c>
      <c r="M337" s="625">
        <f ca="1">L337</f>
        <v>48900</v>
      </c>
      <c r="N337" s="622">
        <f ca="1">IFERROR(__xludf.DUMMYFUNCTION("IMPORTRANGE(""https://docs.google.com/spreadsheets/d/1Yj_ptqi66GCucihVvJfMjLAmec39IyEx_6qawtMGysU/edit?usp=sharing"",""สบก!DN54"")"),48900)</f>
        <v>48900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IFERROR(__xludf.DUMMYFUNCTION("IMPORTRANGE(""https://docs.google.com/spreadsheets/d/1XL5vhW3sbDhbH9Cz0tuDiY8C3ctxq1tqvaCgkFb8cCA/edit?usp=sharing"",""หนองบัวลำภู!J234"")"),301)</f>
        <v>301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IFERROR(__xludf.DUMMYFUNCTION("IMPORTRANGE(""https://docs.google.com/spreadsheets/d/1XL5vhW3sbDhbH9Cz0tuDiY8C3ctxq1tqvaCgkFb8cCA/edit?usp=sharing"",""หนองบัวลำภู!J235"")"),2797.62)</f>
        <v>2797.62</v>
      </c>
      <c r="K340" s="343">
        <f t="shared" ca="1" si="103"/>
        <v>37.805675675675673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IFERROR(__xludf.DUMMYFUNCTION("IMPORTRANGE(""https://docs.google.com/spreadsheets/d/1XL5vhW3sbDhbH9Cz0tuDiY8C3ctxq1tqvaCgkFb8cCA/edit?usp=sharing"",""หนองบัวลำภู!J236"")"),328)</f>
        <v>328</v>
      </c>
      <c r="K341" s="343">
        <f t="shared" ca="1" si="103"/>
        <v>39.047619047619051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IFERROR(__xludf.DUMMYFUNCTION("IMPORTRANGE(""https://docs.google.com/spreadsheets/d/1XL5vhW3sbDhbH9Cz0tuDiY8C3ctxq1tqvaCgkFb8cCA/edit?usp=sharing"",""หนองบัวลำภู!J237"")"),4125.85)</f>
        <v>4125.8500000000004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IFERROR(__xludf.DUMMYFUNCTION("IMPORTRANGE(""https://docs.google.com/spreadsheets/d/1XL5vhW3sbDhbH9Cz0tuDiY8C3ctxq1tqvaCgkFb8cCA/edit?usp=sharing"",""หนองบัวลำภู!J240"")"),327)</f>
        <v>327</v>
      </c>
      <c r="K345" s="343">
        <f t="shared" ca="1" si="103"/>
        <v>38.928571428571431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IFERROR(__xludf.DUMMYFUNCTION("IMPORTRANGE(""https://docs.google.com/spreadsheets/d/1XL5vhW3sbDhbH9Cz0tuDiY8C3ctxq1tqvaCgkFb8cCA/edit?usp=sharing"",""หนองบัวลำภู!J241"")"),4073.17)</f>
        <v>4073.17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IFERROR(__xludf.DUMMYFUNCTION("IMPORTRANGE(""https://docs.google.com/spreadsheets/d/1XL5vhW3sbDhbH9Cz0tuDiY8C3ctxq1tqvaCgkFb8cCA/edit?usp=sharing"",""หนองบัวลำภู!L242"")"),3461536)</f>
        <v>3461536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IFERROR(__xludf.DUMMYFUNCTION("IMPORTRANGE(""https://docs.google.com/spreadsheets/d/1XL5vhW3sbDhbH9Cz0tuDiY8C3ctxq1tqvaCgkFb8cCA/edit?usp=sharing"",""หนองบัวลำภู!M242"")"),1773114.42)</f>
        <v>1773114.42</v>
      </c>
      <c r="O347" s="358">
        <f ca="1">+IF(L347&gt;0,N347*100/L347,0)</f>
        <v>51.223341892154231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IFERROR(__xludf.DUMMYFUNCTION("IMPORTRANGE(""https://docs.google.com/spreadsheets/d/1XL5vhW3sbDhbH9Cz0tuDiY8C3ctxq1tqvaCgkFb8cCA/edit?usp=sharing"",""หนองบัวลำภู!M244"")"),519149.72)</f>
        <v>519149.72</v>
      </c>
      <c r="O349" s="373">
        <f ca="1">+IF(L349&gt;0,N349*100/L349,0)</f>
        <v>84.3350531206342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IFERROR(__xludf.DUMMYFUNCTION("IMPORTRANGE(""https://docs.google.com/spreadsheets/d/1XL5vhW3sbDhbH9Cz0tuDiY8C3ctxq1tqvaCgkFb8cCA/edit?usp=sharing"",""หนองบัวลำภู!M247"")"),519149.72)</f>
        <v>519149.72</v>
      </c>
      <c r="O352" s="165">
        <f t="shared" ca="1" si="105"/>
        <v>84.3350531206342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IFERROR(__xludf.DUMMYFUNCTION("IMPORTRANGE(""https://docs.google.com/spreadsheets/d/1XL5vhW3sbDhbH9Cz0tuDiY8C3ctxq1tqvaCgkFb8cCA/edit?usp=sharing"",""หนองบัวลำภู!M249"")"),519149.72)</f>
        <v>519149.72</v>
      </c>
      <c r="O354" s="169">
        <f t="shared" ca="1" si="105"/>
        <v>84.3350531206342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IFERROR(__xludf.DUMMYFUNCTION("IMPORTRANGE(""https://docs.google.com/spreadsheets/d/1XL5vhW3sbDhbH9Cz0tuDiY8C3ctxq1tqvaCgkFb8cCA/edit?usp=sharing"",""หนองบัวลำภู!M250"")"),91543)</f>
        <v>91543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IFERROR(__xludf.DUMMYFUNCTION("IMPORTRANGE(""https://docs.google.com/spreadsheets/d/1XL5vhW3sbDhbH9Cz0tuDiY8C3ctxq1tqvaCgkFb8cCA/edit?usp=sharing"",""หนองบัวลำภู!M252"")"),82866.72)</f>
        <v>82866.720000000001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IFERROR(__xludf.DUMMYFUNCTION("IMPORTRANGE(""https://docs.google.com/spreadsheets/d/1XL5vhW3sbDhbH9Cz0tuDiY8C3ctxq1tqvaCgkFb8cCA/edit?usp=sharing"",""หนองบัวลำภู!M253"")"),29340)</f>
        <v>29340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IFERROR(__xludf.DUMMYFUNCTION("IMPORTRANGE(""https://docs.google.com/spreadsheets/d/1XL5vhW3sbDhbH9Cz0tuDiY8C3ctxq1tqvaCgkFb8cCA/edit?usp=sharing"",""หนองบัวลำภู!M275"")"),313697.36)</f>
        <v>313697.36</v>
      </c>
      <c r="O380" s="373">
        <f ca="1">+IF(L380&gt;0,N380*100/L380,0)</f>
        <v>30.499879438416365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IFERROR(__xludf.DUMMYFUNCTION("IMPORTRANGE(""https://docs.google.com/spreadsheets/d/1XL5vhW3sbDhbH9Cz0tuDiY8C3ctxq1tqvaCgkFb8cCA/edit?usp=sharing"",""หนองบัวลำภู!M278"")"),313697.36)</f>
        <v>313697.36</v>
      </c>
      <c r="O383" s="165">
        <f t="shared" ca="1" si="109"/>
        <v>30.499879438416365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IFERROR(__xludf.DUMMYFUNCTION("IMPORTRANGE(""https://docs.google.com/spreadsheets/d/1XL5vhW3sbDhbH9Cz0tuDiY8C3ctxq1tqvaCgkFb8cCA/edit?usp=sharing"",""หนองบัวลำภู!M280"")"),313697.36)</f>
        <v>313697.36</v>
      </c>
      <c r="O385" s="169">
        <f t="shared" ca="1" si="109"/>
        <v>30.499879438416365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IFERROR(__xludf.DUMMYFUNCTION("IMPORTRANGE(""https://docs.google.com/spreadsheets/d/1XL5vhW3sbDhbH9Cz0tuDiY8C3ctxq1tqvaCgkFb8cCA/edit?usp=sharing"",""หนองบัวลำภู!M283"")"),79933.36)</f>
        <v>79933.36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IFERROR(__xludf.DUMMYFUNCTION("IMPORTRANGE(""https://docs.google.com/spreadsheets/d/1XL5vhW3sbDhbH9Cz0tuDiY8C3ctxq1tqvaCgkFb8cCA/edit?usp=sharing"",""หนองบัวลำภู!M284"")"),35764)</f>
        <v>35764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IFERROR(__xludf.DUMMYFUNCTION("IMPORTRANGE(""https://docs.google.com/spreadsheets/d/1XL5vhW3sbDhbH9Cz0tuDiY8C3ctxq1tqvaCgkFb8cCA/edit?usp=sharing"",""หนองบัวลำภู!M296"")"),143933)</f>
        <v>143933</v>
      </c>
      <c r="O401" s="373">
        <f ca="1">+IF(L401&gt;0,N401*100/L401,0)</f>
        <v>89.986245701781812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IFERROR(__xludf.DUMMYFUNCTION("IMPORTRANGE(""https://docs.google.com/spreadsheets/d/1XL5vhW3sbDhbH9Cz0tuDiY8C3ctxq1tqvaCgkFb8cCA/edit?usp=sharing"",""หนองบัวลำภู!M299"")"),143933)</f>
        <v>143933</v>
      </c>
      <c r="O404" s="169">
        <f t="shared" ca="1" si="112"/>
        <v>89.986245701781812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IFERROR(__xludf.DUMMYFUNCTION("IMPORTRANGE(""https://docs.google.com/spreadsheets/d/1XL5vhW3sbDhbH9Cz0tuDiY8C3ctxq1tqvaCgkFb8cCA/edit?usp=sharing"",""หนองบัวลำภู!M301"")"),143933)</f>
        <v>143933</v>
      </c>
      <c r="O406" s="169">
        <f t="shared" ca="1" si="112"/>
        <v>89.986245701781812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IFERROR(__xludf.DUMMYFUNCTION("IMPORTRANGE(""https://docs.google.com/spreadsheets/d/1XL5vhW3sbDhbH9Cz0tuDiY8C3ctxq1tqvaCgkFb8cCA/edit?usp=sharing"",""หนองบัวลำภู!M305"")"),13883)</f>
        <v>13883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IFERROR(__xludf.DUMMYFUNCTION("IMPORTRANGE(""https://docs.google.com/spreadsheets/d/1XL5vhW3sbDhbH9Cz0tuDiY8C3ctxq1tqvaCgkFb8cCA/edit?usp=sharing"",""หนองบัวลำภู!L350"")"),733996)</f>
        <v>733996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IFERROR(__xludf.DUMMYFUNCTION("IMPORTRANGE(""https://docs.google.com/spreadsheets/d/1XL5vhW3sbDhbH9Cz0tuDiY8C3ctxq1tqvaCgkFb8cCA/edit?usp=sharing"",""หนองบัวลำภู!M350"")"),234397.06)</f>
        <v>234397.06</v>
      </c>
      <c r="O455" s="373">
        <f t="shared" ref="O455:O459" ca="1" si="116">+IF(L455&gt;0,N455*100/L455,0)</f>
        <v>31.934378388983045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IFERROR(__xludf.DUMMYFUNCTION("IMPORTRANGE(""https://docs.google.com/spreadsheets/d/1XL5vhW3sbDhbH9Cz0tuDiY8C3ctxq1tqvaCgkFb8cCA/edit?usp=sharing"",""หนองบัวลำภู!L352"")"),733996)</f>
        <v>733996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IFERROR(__xludf.DUMMYFUNCTION("IMPORTRANGE(""https://docs.google.com/spreadsheets/d/1XL5vhW3sbDhbH9Cz0tuDiY8C3ctxq1tqvaCgkFb8cCA/edit?usp=sharing"",""หนองบัวลำภู!M352"")"),234397.06)</f>
        <v>234397.06</v>
      </c>
      <c r="O457" s="169">
        <f t="shared" ca="1" si="116"/>
        <v>31.934378388983045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IFERROR(__xludf.DUMMYFUNCTION("IMPORTRANGE(""https://docs.google.com/spreadsheets/d/1XL5vhW3sbDhbH9Cz0tuDiY8C3ctxq1tqvaCgkFb8cCA/edit?usp=sharing"",""หนองบัวลำภู!L354"")"),733996)</f>
        <v>733996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IFERROR(__xludf.DUMMYFUNCTION("IMPORTRANGE(""https://docs.google.com/spreadsheets/d/1XL5vhW3sbDhbH9Cz0tuDiY8C3ctxq1tqvaCgkFb8cCA/edit?usp=sharing"",""หนองบัวลำภู!M354"")"),234397.06)</f>
        <v>234397.06</v>
      </c>
      <c r="O459" s="169">
        <f t="shared" ca="1" si="116"/>
        <v>31.934378388983045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IFERROR(__xludf.DUMMYFUNCTION("IMPORTRANGE(""https://docs.google.com/spreadsheets/d/1XL5vhW3sbDhbH9Cz0tuDiY8C3ctxq1tqvaCgkFb8cCA/edit?usp=sharing"",""หนองบัวลำภู!M357"")"),61600.06)</f>
        <v>61600.06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IFERROR(__xludf.DUMMYFUNCTION("IMPORTRANGE(""https://docs.google.com/spreadsheets/d/1XL5vhW3sbDhbH9Cz0tuDiY8C3ctxq1tqvaCgkFb8cCA/edit?usp=sharing"",""หนองบัวลำภู!M358"")"),172797)</f>
        <v>172797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IFERROR(__xludf.DUMMYFUNCTION("IMPORTRANGE(""https://docs.google.com/spreadsheets/d/1XL5vhW3sbDhbH9Cz0tuDiY8C3ctxq1tqvaCgkFb8cCA/edit?usp=sharing"",""หนองบัวลำภู!I420"")"),0)</f>
        <v>0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IFERROR(__xludf.DUMMYFUNCTION("IMPORTRANGE(""https://docs.google.com/spreadsheets/d/1XL5vhW3sbDhbH9Cz0tuDiY8C3ctxq1tqvaCgkFb8cCA/edit?usp=sharing"",""หนองบัวลำภู!I421"")"),0)</f>
        <v>0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IFERROR(__xludf.DUMMYFUNCTION("IMPORTRANGE(""https://docs.google.com/spreadsheets/d/1XL5vhW3sbDhbH9Cz0tuDiY8C3ctxq1tqvaCgkFb8cCA/edit?usp=sharing"",""หนองบัวลำภู!J446"")"),2539)</f>
        <v>2539</v>
      </c>
      <c r="K551" s="411">
        <f ca="1">IF(I551&gt;0,J551*100/I551,0)</f>
        <v>50.78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IFERROR(__xludf.DUMMYFUNCTION("IMPORTRANGE(""https://docs.google.com/spreadsheets/d/1XL5vhW3sbDhbH9Cz0tuDiY8C3ctxq1tqvaCgkFb8cCA/edit?usp=sharing"",""หนองบัวลำภู!M446"")"),244881.08)</f>
        <v>244881.08</v>
      </c>
      <c r="O551" s="412">
        <f t="shared" ref="O551:O555" ca="1" si="120">+IF(L551&gt;0,N551*100/L551,0)</f>
        <v>78.993896774193544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IFERROR(__xludf.DUMMYFUNCTION("IMPORTRANGE(""https://docs.google.com/spreadsheets/d/1XL5vhW3sbDhbH9Cz0tuDiY8C3ctxq1tqvaCgkFb8cCA/edit?usp=sharing"",""หนองบัวลำภู!M448"")"),244881.08)</f>
        <v>244881.08</v>
      </c>
      <c r="O553" s="169">
        <f t="shared" ca="1" si="120"/>
        <v>78.993896774193544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IFERROR(__xludf.DUMMYFUNCTION("IMPORTRANGE(""https://docs.google.com/spreadsheets/d/1XL5vhW3sbDhbH9Cz0tuDiY8C3ctxq1tqvaCgkFb8cCA/edit?usp=sharing"",""หนองบัวลำภู!M450"")"),244881.08)</f>
        <v>244881.08</v>
      </c>
      <c r="O555" s="169">
        <f t="shared" ca="1" si="120"/>
        <v>78.993896774193544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IFERROR(__xludf.DUMMYFUNCTION("IMPORTRANGE(""https://docs.google.com/spreadsheets/d/1XL5vhW3sbDhbH9Cz0tuDiY8C3ctxq1tqvaCgkFb8cCA/edit?usp=sharing"",""หนองบัวลำภู!M453"")"),74400)</f>
        <v>74400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IFERROR(__xludf.DUMMYFUNCTION("IMPORTRANGE(""https://docs.google.com/spreadsheets/d/1XL5vhW3sbDhbH9Cz0tuDiY8C3ctxq1tqvaCgkFb8cCA/edit?usp=sharing"",""หนองบัวลำภู!M454"")"),170481.08)</f>
        <v>170481.08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IFERROR(__xludf.DUMMYFUNCTION("IMPORTRANGE(""https://docs.google.com/spreadsheets/d/1XL5vhW3sbDhbH9Cz0tuDiY8C3ctxq1tqvaCgkFb8cCA/edit?usp=sharing"",""หนองบัวลำภู!J455"")"),2539)</f>
        <v>2539</v>
      </c>
      <c r="K560" s="225">
        <f t="shared" ref="K560:K561" ca="1" si="121">IF(I560&gt;0,J560*100/I560,0)</f>
        <v>50.78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IFERROR(__xludf.DUMMYFUNCTION("IMPORTRANGE(""https://docs.google.com/spreadsheets/d/1XL5vhW3sbDhbH9Cz0tuDiY8C3ctxq1tqvaCgkFb8cCA/edit?usp=sharing"",""หนองบัวลำภู!J456"")"),133)</f>
        <v>133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IFERROR(__xludf.DUMMYFUNCTION("IMPORTRANGE(""https://docs.google.com/spreadsheets/d/1XL5vhW3sbDhbH9Cz0tuDiY8C3ctxq1tqvaCgkFb8cCA/edit?usp=sharing"",""หนองบัวลำภู!J459"")"),5156)</f>
        <v>5156</v>
      </c>
      <c r="K564" s="372">
        <f ca="1">IF(I564&gt;0,J564*100/I564,0)</f>
        <v>135.68421052631578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IFERROR(__xludf.DUMMYFUNCTION("IMPORTRANGE(""https://docs.google.com/spreadsheets/d/1XL5vhW3sbDhbH9Cz0tuDiY8C3ctxq1tqvaCgkFb8cCA/edit?usp=sharing"",""หนองบัวลำภู!M459"")"),78513.17)</f>
        <v>78513.17</v>
      </c>
      <c r="O564" s="373">
        <f t="shared" ref="O564:O568" ca="1" si="122">+IF(L564&gt;0,N564*100/L564,0)</f>
        <v>51.382964659685861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IFERROR(__xludf.DUMMYFUNCTION("IMPORTRANGE(""https://docs.google.com/spreadsheets/d/1XL5vhW3sbDhbH9Cz0tuDiY8C3ctxq1tqvaCgkFb8cCA/edit?usp=sharing"",""หนองบัวลำภู!M461"")"),78513.17)</f>
        <v>78513.17</v>
      </c>
      <c r="O566" s="169">
        <f t="shared" ca="1" si="122"/>
        <v>51.382964659685861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IFERROR(__xludf.DUMMYFUNCTION("IMPORTRANGE(""https://docs.google.com/spreadsheets/d/1XL5vhW3sbDhbH9Cz0tuDiY8C3ctxq1tqvaCgkFb8cCA/edit?usp=sharing"",""หนองบัวลำภู!M463"")"),78513.17)</f>
        <v>78513.17</v>
      </c>
      <c r="O568" s="169">
        <f t="shared" ca="1" si="122"/>
        <v>51.382964659685861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IFERROR(__xludf.DUMMYFUNCTION("IMPORTRANGE(""https://docs.google.com/spreadsheets/d/1XL5vhW3sbDhbH9Cz0tuDiY8C3ctxq1tqvaCgkFb8cCA/edit?usp=sharing"",""หนองบัวลำภู!M466"")"),62699.97)</f>
        <v>62699.97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IFERROR(__xludf.DUMMYFUNCTION("IMPORTRANGE(""https://docs.google.com/spreadsheets/d/1XL5vhW3sbDhbH9Cz0tuDiY8C3ctxq1tqvaCgkFb8cCA/edit?usp=sharing"",""หนองบัวลำภู!M467"")"),15813.2)</f>
        <v>15813.2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IFERROR(__xludf.DUMMYFUNCTION("IMPORTRANGE(""https://docs.google.com/spreadsheets/d/1XL5vhW3sbDhbH9Cz0tuDiY8C3ctxq1tqvaCgkFb8cCA/edit?usp=sharing"",""หนองบัวลำภู!J468"")"),5156)</f>
        <v>5156</v>
      </c>
      <c r="K573" s="202">
        <f ca="1">IF(I573&gt;0,J573*100/I573,0)</f>
        <v>135.68421052631578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IFERROR(__xludf.DUMMYFUNCTION("IMPORTRANGE(""https://docs.google.com/spreadsheets/d/1XL5vhW3sbDhbH9Cz0tuDiY8C3ctxq1tqvaCgkFb8cCA/edit?usp=sharing"",""หนองบัวลำภู!J471"")"),368)</f>
        <v>368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IFERROR(__xludf.DUMMYFUNCTION("IMPORTRANGE(""https://docs.google.com/spreadsheets/d/1XL5vhW3sbDhbH9Cz0tuDiY8C3ctxq1tqvaCgkFb8cCA/edit?usp=sharing"",""หนองบัวลำภู!J472"")"),4788)</f>
        <v>4788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IFERROR(__xludf.DUMMYFUNCTION("IMPORTRANGE(""https://docs.google.com/spreadsheets/d/1XL5vhW3sbDhbH9Cz0tuDiY8C3ctxq1tqvaCgkFb8cCA/edit?usp=sharing"",""หนองบัวลำภู!M475"")"),127420.03)</f>
        <v>127420.03</v>
      </c>
      <c r="O580" s="373">
        <f t="shared" ref="O580:O584" ca="1" si="124">+IF(L580&gt;0,N580*100/L580,0)</f>
        <v>38.96041278092035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IFERROR(__xludf.DUMMYFUNCTION("IMPORTRANGE(""https://docs.google.com/spreadsheets/d/1XL5vhW3sbDhbH9Cz0tuDiY8C3ctxq1tqvaCgkFb8cCA/edit?usp=sharing"",""หนองบัวลำภู!M477"")"),127420.03)</f>
        <v>127420.03</v>
      </c>
      <c r="O582" s="169">
        <f t="shared" ca="1" si="124"/>
        <v>38.96041278092035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IFERROR(__xludf.DUMMYFUNCTION("IMPORTRANGE(""https://docs.google.com/spreadsheets/d/1XL5vhW3sbDhbH9Cz0tuDiY8C3ctxq1tqvaCgkFb8cCA/edit?usp=sharing"",""หนองบัวลำภู!M479"")"),127420.03)</f>
        <v>127420.03</v>
      </c>
      <c r="O584" s="169">
        <f t="shared" ca="1" si="124"/>
        <v>38.96041278092035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IFERROR(__xludf.DUMMYFUNCTION("IMPORTRANGE(""https://docs.google.com/spreadsheets/d/1XL5vhW3sbDhbH9Cz0tuDiY8C3ctxq1tqvaCgkFb8cCA/edit?usp=sharing"",""หนองบัวลำภู!M482"")"),80300.03)</f>
        <v>80300.03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IFERROR(__xludf.DUMMYFUNCTION("IMPORTRANGE(""https://docs.google.com/spreadsheets/d/1XL5vhW3sbDhbH9Cz0tuDiY8C3ctxq1tqvaCgkFb8cCA/edit?usp=sharing"",""หนองบัวลำภู!M483"")"),47120)</f>
        <v>47120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IFERROR(__xludf.DUMMYFUNCTION("IMPORTRANGE(""https://docs.google.com/spreadsheets/d/1XL5vhW3sbDhbH9Cz0tuDiY8C3ctxq1tqvaCgkFb8cCA/edit?usp=sharing"",""หนองบัวลำภู!J484"")"),187)</f>
        <v>187</v>
      </c>
      <c r="K589" s="163">
        <f t="shared" ref="K589:K596" ca="1" si="125">IF(I589&gt;0,J589*100/I589,0)</f>
        <v>124.66666666666667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IFERROR(__xludf.DUMMYFUNCTION("IMPORTRANGE(""https://docs.google.com/spreadsheets/d/1XL5vhW3sbDhbH9Cz0tuDiY8C3ctxq1tqvaCgkFb8cCA/edit?usp=sharing"",""หนองบัวลำภู!J485"")"),109.06)</f>
        <v>109.06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IFERROR(__xludf.DUMMYFUNCTION("IMPORTRANGE(""https://docs.google.com/spreadsheets/d/1XL5vhW3sbDhbH9Cz0tuDiY8C3ctxq1tqvaCgkFb8cCA/edit?usp=sharing"",""หนองบัวลำภู!J486"")"),104)</f>
        <v>104</v>
      </c>
      <c r="K591" s="163">
        <f t="shared" ca="1" si="125"/>
        <v>69.333333333333329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IFERROR(__xludf.DUMMYFUNCTION("IMPORTRANGE(""https://docs.google.com/spreadsheets/d/1XL5vhW3sbDhbH9Cz0tuDiY8C3ctxq1tqvaCgkFb8cCA/edit?usp=sharing"",""หนองบัวลำภู!J487"")"),58.23)</f>
        <v>58.23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IFERROR(__xludf.DUMMYFUNCTION("IMPORTRANGE(""https://docs.google.com/spreadsheets/d/1XL5vhW3sbDhbH9Cz0tuDiY8C3ctxq1tqvaCgkFb8cCA/edit?usp=sharing"",""หนองบัวลำภู!J488"")"),1)</f>
        <v>1</v>
      </c>
      <c r="K593" s="163">
        <f t="shared" ca="1" si="125"/>
        <v>0.66666666666666663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IFERROR(__xludf.DUMMYFUNCTION("IMPORTRANGE(""https://docs.google.com/spreadsheets/d/1XL5vhW3sbDhbH9Cz0tuDiY8C3ctxq1tqvaCgkFb8cCA/edit?usp=sharing"",""หนองบัวลำภู!J489"")"),0.49)</f>
        <v>0.49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26.592920353982301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26.592920353982301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26.592920353982301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IFERROR(__xludf.DUMMYFUNCTION("IMPORTRANGE(""https://docs.google.com/spreadsheets/d/1XL5vhW3sbDhbH9Cz0tuDiY8C3ctxq1tqvaCgkFb8cCA/edit?usp=sharing"",""หนองบัวลำภู!J166"")"),0)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IFERROR(__xludf.DUMMYFUNCTION("IMPORTRANGE(""https://docs.google.com/spreadsheets/d/1XL5vhW3sbDhbH9Cz0tuDiY8C3ctxq1tqvaCgkFb8cCA/edit?usp=sharing"",""หนองบัวลำภู!J166"")"),0)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IFERROR(__xludf.DUMMYFUNCTION("IMPORTRANGE(""https://docs.google.com/spreadsheets/d/1XL5vhW3sbDhbH9Cz0tuDiY8C3ctxq1tqvaCgkFb8cCA/edit?usp=sharing"",""หนองบัวลำภู!J523"")"),3612276.27)</f>
        <v>3612276.27</v>
      </c>
      <c r="K628" s="343">
        <f t="shared" ref="K628:K635" ca="1" si="129">IF(I628&gt;0,J628*100/I628,0)</f>
        <v>92.514183219454495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IFERROR(__xludf.DUMMYFUNCTION("IMPORTRANGE(""https://docs.google.com/spreadsheets/d/1XL5vhW3sbDhbH9Cz0tuDiY8C3ctxq1tqvaCgkFb8cCA/edit?usp=sharing"",""หนองบัวลำภู!J524"")"),248)</f>
        <v>248</v>
      </c>
      <c r="K629" s="343">
        <f t="shared" ca="1" si="129"/>
        <v>96.875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IFERROR(__xludf.DUMMYFUNCTION("IMPORTRANGE(""https://docs.google.com/spreadsheets/d/1XL5vhW3sbDhbH9Cz0tuDiY8C3ctxq1tqvaCgkFb8cCA/edit?usp=sharing"",""หนองบัวลำภู!J525"")"),687351.11)</f>
        <v>687351.11</v>
      </c>
      <c r="K630" s="343">
        <f t="shared" ca="1" si="129"/>
        <v>23.863263467705803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IFERROR(__xludf.DUMMYFUNCTION("IMPORTRANGE(""https://docs.google.com/spreadsheets/d/1XL5vhW3sbDhbH9Cz0tuDiY8C3ctxq1tqvaCgkFb8cCA/edit?usp=sharing"",""หนองบัวลำภู!J526"")"),105)</f>
        <v>105</v>
      </c>
      <c r="K631" s="343">
        <f t="shared" ca="1" si="129"/>
        <v>79.545454545454547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IFERROR(__xludf.DUMMYFUNCTION("IMPORTRANGE(""https://docs.google.com/spreadsheets/d/1XL5vhW3sbDhbH9Cz0tuDiY8C3ctxq1tqvaCgkFb8cCA/edit?usp=sharing"",""หนองบัวลำภู!J530"")"),56)</f>
        <v>56</v>
      </c>
      <c r="K635" s="486">
        <f t="shared" ca="1" si="129"/>
        <v>83.582089552238813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5720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5720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5720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IFERROR(__xludf.DUMMYFUNCTION("IMPORTRANGE(""https://docs.google.com/spreadsheets/d/1XL5vhW3sbDhbH9Cz0tuDiY8C3ctxq1tqvaCgkFb8cCA/edit#gid=346597447"",""หนองบัวลำภู!J541"")"),0)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IFERROR(__xludf.DUMMYFUNCTION("IMPORTRANGE(""https://docs.google.com/spreadsheets/d/1XL5vhW3sbDhbH9Cz0tuDiY8C3ctxq1tqvaCgkFb8cCA/edit#gid=346597447"",""หนองบัวลำภู!J542"")"),1)</f>
        <v>1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IFERROR(__xludf.DUMMYFUNCTION("IMPORTRANGE(""https://docs.google.com/spreadsheets/d/1XL5vhW3sbDhbH9Cz0tuDiY8C3ctxq1tqvaCgkFb8cCA/edit#gid=346597447"",""หนองบัวลำภู!I543"")"),55)</f>
        <v>55</v>
      </c>
      <c r="J648" s="585">
        <f ca="1">IFERROR(__xludf.DUMMYFUNCTION("IMPORTRANGE(""https://docs.google.com/spreadsheets/d/1XL5vhW3sbDhbH9Cz0tuDiY8C3ctxq1tqvaCgkFb8cCA/edit#gid=346597447"",""หนองบัวลำภู!J543"")"),0)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0"/>
      <c r="N648" s="587">
        <f ca="1">IFERROR(__xludf.DUMMYFUNCTION("IMPORTRANGE(""https://docs.google.com/spreadsheets/d/1XL5vhW3sbDhbH9Cz0tuDiY8C3ctxq1tqvaCgkFb8cCA/edit#gid=346597447"",""หนองบัวลำภู!M543"")"),0)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IFERROR(__xludf.DUMMYFUNCTION("IMPORTRANGE(""https://docs.google.com/spreadsheets/d/1XL5vhW3sbDhbH9Cz0tuDiY8C3ctxq1tqvaCgkFb8cCA/edit#gid=346597447"",""หนองบัวลำภู!I544"")"),11)</f>
        <v>11</v>
      </c>
      <c r="J649" s="585">
        <f ca="1">IFERROR(__xludf.DUMMYFUNCTION("IMPORTRANGE(""https://docs.google.com/spreadsheets/d/1XL5vhW3sbDhbH9Cz0tuDiY8C3ctxq1tqvaCgkFb8cCA/edit#gid=346597447"",""หนองบัวลำภู!J544"")"),0)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0"/>
      <c r="N649" s="587">
        <f ca="1">IFERROR(__xludf.DUMMYFUNCTION("IMPORTRANGE(""https://docs.google.com/spreadsheets/d/1XL5vhW3sbDhbH9Cz0tuDiY8C3ctxq1tqvaCgkFb8cCA/edit#gid=346597447"",""หนองบัวลำภู!M544"")"),0)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IFERROR(__xludf.DUMMYFUNCTION("IMPORTRANGE(""https://docs.google.com/spreadsheets/d/1XL5vhW3sbDhbH9Cz0tuDiY8C3ctxq1tqvaCgkFb8cCA/edit#gid=346597447"",""หนองบัวลำภู!I545"")"),0)</f>
        <v>0</v>
      </c>
      <c r="J650" s="585">
        <f ca="1">IFERROR(__xludf.DUMMYFUNCTION("IMPORTRANGE(""https://docs.google.com/spreadsheets/d/1XL5vhW3sbDhbH9Cz0tuDiY8C3ctxq1tqvaCgkFb8cCA/edit#gid=346597447"",""หนองบัวลำภู!J545"")"),0)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IFERROR(__xludf.DUMMYFUNCTION("IMPORTRANGE(""https://docs.google.com/spreadsheets/d/1XL5vhW3sbDhbH9Cz0tuDiY8C3ctxq1tqvaCgkFb8cCA/edit#gid=346597447"",""หนองบัวลำภู!L545"")"),0)</f>
        <v>0</v>
      </c>
      <c r="M650" s="570"/>
      <c r="N650" s="587">
        <f ca="1">IFERROR(__xludf.DUMMYFUNCTION("IMPORTRANGE(""https://docs.google.com/spreadsheets/d/1XL5vhW3sbDhbH9Cz0tuDiY8C3ctxq1tqvaCgkFb8cCA/edit#gid=346597447"",""หนองบัวลำภู!M545"")"),0)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IFERROR(__xludf.DUMMYFUNCTION("IMPORTRANGE(""https://docs.google.com/spreadsheets/d/1XL5vhW3sbDhbH9Cz0tuDiY8C3ctxq1tqvaCgkFb8cCA/edit#gid=346597447"",""หนองบัวลำภู!I546"")"),0)</f>
        <v>0</v>
      </c>
      <c r="J651" s="585">
        <f ca="1">J657+J660</f>
        <v>56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IFERROR(__xludf.DUMMYFUNCTION("IMPORTRANGE(""https://docs.google.com/spreadsheets/d/1XL5vhW3sbDhbH9Cz0tuDiY8C3ctxq1tqvaCgkFb8cCA/edit#gid=346597447"",""หนองบัวลำภู!L546"")"),0)</f>
        <v>0</v>
      </c>
      <c r="M651" s="570"/>
      <c r="N651" s="587">
        <f ca="1">IFERROR(__xludf.DUMMYFUNCTION("IMPORTRANGE(""https://docs.google.com/spreadsheets/d/1XL5vhW3sbDhbH9Cz0tuDiY8C3ctxq1tqvaCgkFb8cCA/edit#gid=346597447"",""หนองบัวลำภู!M546"")"),0)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IFERROR(__xludf.DUMMYFUNCTION("IMPORTRANGE(""https://docs.google.com/spreadsheets/d/1XL5vhW3sbDhbH9Cz0tuDiY8C3ctxq1tqvaCgkFb8cCA/edit#gid=346597447"",""หนองบัวลำภู!J547"")"),3)</f>
        <v>3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IFERROR(__xludf.DUMMYFUNCTION("IMPORTRANGE(""https://docs.google.com/spreadsheets/d/1XL5vhW3sbDhbH9Cz0tuDiY8C3ctxq1tqvaCgkFb8cCA/edit#gid=346597447"",""หนองบัวลำภู!J548"")"),56)</f>
        <v>56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IFERROR(__xludf.DUMMYFUNCTION("IMPORTRANGE(""https://docs.google.com/spreadsheets/d/1XL5vhW3sbDhbH9Cz0tuDiY8C3ctxq1tqvaCgkFb8cCA/edit#gid=346597447"",""หนองบัวลำภู!J550"")"),0)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IFERROR(__xludf.DUMMYFUNCTION("IMPORTRANGE(""https://docs.google.com/spreadsheets/d/1XL5vhW3sbDhbH9Cz0tuDiY8C3ctxq1tqvaCgkFb8cCA/edit#gid=346597447"",""หนองบัวลำภู!J551"")"),10)</f>
        <v>10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IFERROR(__xludf.DUMMYFUNCTION("IMPORTRANGE(""https://docs.google.com/spreadsheets/d/1XL5vhW3sbDhbH9Cz0tuDiY8C3ctxq1tqvaCgkFb8cCA/edit#gid=346597447"",""หนองบัวลำภู!J552"")"),56)</f>
        <v>56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IFERROR(__xludf.DUMMYFUNCTION("IMPORTRANGE(""https://docs.google.com/spreadsheets/d/1XL5vhW3sbDhbH9Cz0tuDiY8C3ctxq1tqvaCgkFb8cCA/edit#gid=346597447"",""หนองบัวลำภู!J553"")"),0)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IFERROR(__xludf.DUMMYFUNCTION("IMPORTRANGE(""https://docs.google.com/spreadsheets/d/1XL5vhW3sbDhbH9Cz0tuDiY8C3ctxq1tqvaCgkFb8cCA/edit#gid=346597447"",""หนองบัวลำภู!J554"")"),0)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IFERROR(__xludf.DUMMYFUNCTION("IMPORTRANGE(""https://docs.google.com/spreadsheets/d/1XL5vhW3sbDhbH9Cz0tuDiY8C3ctxq1tqvaCgkFb8cCA/edit#gid=346597447"",""หนองบัวลำภู!J555"")"),0)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IFERROR(__xludf.DUMMYFUNCTION("IMPORTRANGE(""https://docs.google.com/spreadsheets/d/1XL5vhW3sbDhbH9Cz0tuDiY8C3ctxq1tqvaCgkFb8cCA/edit#gid=346597447"",""หนองบัวลำภู!J556"")"),0)</f>
        <v>0</v>
      </c>
      <c r="K661" s="586"/>
      <c r="L661" s="571">
        <f ca="1">IFERROR(__xludf.DUMMYFUNCTION("IMPORTRANGE(""https://docs.google.com/spreadsheets/d/1XL5vhW3sbDhbH9Cz0tuDiY8C3ctxq1tqvaCgkFb8cCA/edit#gid=346597447"",""หนองบัวลำภู!L556"")"),0)</f>
        <v>0</v>
      </c>
      <c r="M661" s="570"/>
      <c r="N661" s="587">
        <f ca="1">IFERROR(__xludf.DUMMYFUNCTION("IMPORTRANGE(""https://docs.google.com/spreadsheets/d/1XL5vhW3sbDhbH9Cz0tuDiY8C3ctxq1tqvaCgkFb8cCA/edit#gid=346597447"",""หนองบัวลำภู!M556"")"),0)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IFERROR(__xludf.DUMMYFUNCTION("IMPORTRANGE(""https://docs.google.com/spreadsheets/d/1XL5vhW3sbDhbH9Cz0tuDiY8C3ctxq1tqvaCgkFb8cCA/edit#gid=346597447"",""หนองบัวลำภู!J557"")"),0)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IFERROR(__xludf.DUMMYFUNCTION("IMPORTRANGE(""https://docs.google.com/spreadsheets/d/1XL5vhW3sbDhbH9Cz0tuDiY8C3ctxq1tqvaCgkFb8cCA/edit#gid=346597447"",""หนองบัวลำภู!I558"")"),0)</f>
        <v>0</v>
      </c>
      <c r="J663" s="585">
        <f ca="1">IFERROR(__xludf.DUMMYFUNCTION("IMPORTRANGE(""https://docs.google.com/spreadsheets/d/1XL5vhW3sbDhbH9Cz0tuDiY8C3ctxq1tqvaCgkFb8cCA/edit#gid=346597447"",""หนองบัวลำภู!J558"")"),0)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IFERROR(__xludf.DUMMYFUNCTION("IMPORTRANGE(""https://docs.google.com/spreadsheets/d/1XL5vhW3sbDhbH9Cz0tuDiY8C3ctxq1tqvaCgkFb8cCA/edit#gid=346597447"",""หนองบัวลำภู!I560"")"),0)</f>
        <v>0</v>
      </c>
      <c r="J665" s="585">
        <f ca="1">IFERROR(__xludf.DUMMYFUNCTION("IMPORTRANGE(""https://docs.google.com/spreadsheets/d/1XL5vhW3sbDhbH9Cz0tuDiY8C3ctxq1tqvaCgkFb8cCA/edit#gid=346597447"",""หนองบัวลำภู!J560"")"),0)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IFERROR(__xludf.DUMMYFUNCTION("IMPORTRANGE(""https://docs.google.com/spreadsheets/d/1XL5vhW3sbDhbH9Cz0tuDiY8C3ctxq1tqvaCgkFb8cCA/edit#gid=346597447"",""หนองบัวลำภู!L560"")"),0)</f>
        <v>0</v>
      </c>
      <c r="M665" s="570"/>
      <c r="N665" s="587">
        <f ca="1">IFERROR(__xludf.DUMMYFUNCTION("IMPORTRANGE(""https://docs.google.com/spreadsheets/d/1XL5vhW3sbDhbH9Cz0tuDiY8C3ctxq1tqvaCgkFb8cCA/edit#gid=346597447"",""หนองบัวลำภู!M560"")"),0)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IFERROR(__xludf.DUMMYFUNCTION("IMPORTRANGE(""https://docs.google.com/spreadsheets/d/1XL5vhW3sbDhbH9Cz0tuDiY8C3ctxq1tqvaCgkFb8cCA/edit#gid=346597447"",""หนองบัวลำภู!J561"")"),0)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IFERROR(__xludf.DUMMYFUNCTION("IMPORTRANGE(""https://docs.google.com/spreadsheets/d/1XL5vhW3sbDhbH9Cz0tuDiY8C3ctxq1tqvaCgkFb8cCA/edit#gid=346597447"",""หนองบัวลำภู!J562"")"),0)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IFERROR(__xludf.DUMMYFUNCTION("IMPORTRANGE(""https://docs.google.com/spreadsheets/d/1XL5vhW3sbDhbH9Cz0tuDiY8C3ctxq1tqvaCgkFb8cCA/edit#gid=346597447"",""หนองบัวลำภู!I563"")"),0)</f>
        <v>0</v>
      </c>
      <c r="J668" s="585">
        <f ca="1">IFERROR(__xludf.DUMMYFUNCTION("IMPORTRANGE(""https://docs.google.com/spreadsheets/d/1XL5vhW3sbDhbH9Cz0tuDiY8C3ctxq1tqvaCgkFb8cCA/edit#gid=346597447"",""หนองบัวลำภู!J563"")"),0)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IFERROR(__xludf.DUMMYFUNCTION("IMPORTRANGE(""https://docs.google.com/spreadsheets/d/1XL5vhW3sbDhbH9Cz0tuDiY8C3ctxq1tqvaCgkFb8cCA/edit#gid=346597447"",""หนองบัวลำภู!L563"")"),0)</f>
        <v>0</v>
      </c>
      <c r="M668" s="570"/>
      <c r="N668" s="587">
        <f ca="1">IFERROR(__xludf.DUMMYFUNCTION("IMPORTRANGE(""https://docs.google.com/spreadsheets/d/1XL5vhW3sbDhbH9Cz0tuDiY8C3ctxq1tqvaCgkFb8cCA/edit#gid=346597447"",""หนองบัวลำภู!M563"")"),0)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IFERROR(__xludf.DUMMYFUNCTION("IMPORTRANGE(""https://docs.google.com/spreadsheets/d/1XL5vhW3sbDhbH9Cz0tuDiY8C3ctxq1tqvaCgkFb8cCA/edit#gid=346597447"",""หนองบัวลำภู!J564"")"),0)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IFERROR(__xludf.DUMMYFUNCTION("IMPORTRANGE(""https://docs.google.com/spreadsheets/d/1XL5vhW3sbDhbH9Cz0tuDiY8C3ctxq1tqvaCgkFb8cCA/edit#gid=346597447"",""หนองบัวลำภู!J565"")"),0)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IFERROR(__xludf.DUMMYFUNCTION("IMPORTRANGE(""https://docs.google.com/spreadsheets/d/1XL5vhW3sbDhbH9Cz0tuDiY8C3ctxq1tqvaCgkFb8cCA/edit#gid=346597447"",""หนองบัวลำภู!I566"")"),0)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IFERROR(__xludf.DUMMYFUNCTION("IMPORTRANGE(""https://docs.google.com/spreadsheets/d/1XL5vhW3sbDhbH9Cz0tuDiY8C3ctxq1tqvaCgkFb8cCA/edit#gid=346597447"",""หนองบัวลำภู!L566"")"),0)</f>
        <v>0</v>
      </c>
      <c r="M671" s="570"/>
      <c r="N671" s="587">
        <f ca="1">IFERROR(__xludf.DUMMYFUNCTION("IMPORTRANGE(""https://docs.google.com/spreadsheets/d/1XL5vhW3sbDhbH9Cz0tuDiY8C3ctxq1tqvaCgkFb8cCA/edit#gid=346597447"",""หนองบัวลำภู!M566"")"),0)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IFERROR(__xludf.DUMMYFUNCTION("IMPORTRANGE(""https://docs.google.com/spreadsheets/d/1XL5vhW3sbDhbH9Cz0tuDiY8C3ctxq1tqvaCgkFb8cCA/edit#gid=346597447"",""หนองบัวลำภู!J567"")"),0)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IFERROR(__xludf.DUMMYFUNCTION("IMPORTRANGE(""https://docs.google.com/spreadsheets/d/1XL5vhW3sbDhbH9Cz0tuDiY8C3ctxq1tqvaCgkFb8cCA/edit#gid=346597447"",""หนองบัวลำภู!J568"")"),0)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IFERROR(__xludf.DUMMYFUNCTION("IMPORTRANGE(""https://docs.google.com/spreadsheets/d/1XL5vhW3sbDhbH9Cz0tuDiY8C3ctxq1tqvaCgkFb8cCA/edit#gid=346597447"",""หนองบัวลำภู!J569"")"),0)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IFERROR(__xludf.DUMMYFUNCTION("IMPORTRANGE(""https://docs.google.com/spreadsheets/d/1XL5vhW3sbDhbH9Cz0tuDiY8C3ctxq1tqvaCgkFb8cCA/edit#gid=346597447"",""หนองบัวลำภู!J570"")"),0)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IFERROR(__xludf.DUMMYFUNCTION("IMPORTRANGE(""https://docs.google.com/spreadsheets/d/1XL5vhW3sbDhbH9Cz0tuDiY8C3ctxq1tqvaCgkFb8cCA/edit#gid=346597447"",""หนองบัวลำภู!J571"")"),0)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IFERROR(__xludf.DUMMYFUNCTION("IMPORTRANGE(""https://docs.google.com/spreadsheets/d/1XL5vhW3sbDhbH9Cz0tuDiY8C3ctxq1tqvaCgkFb8cCA/edit#gid=346597447"",""หนองบัวลำภู!J572"")"),0)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14062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4186684</v>
      </c>
      <c r="M8" s="23">
        <f t="shared" ca="1" si="0"/>
        <v>2179425</v>
      </c>
      <c r="N8" s="23">
        <f t="shared" ca="1" si="0"/>
        <v>2345280.44</v>
      </c>
      <c r="O8" s="22">
        <f t="shared" ref="O8:O16" ca="1" si="1">IF(L8&gt;0,N8*100/L8,0)</f>
        <v>56.017612984404842</v>
      </c>
      <c r="P8" s="22">
        <f t="shared" ref="P8:P16" ca="1" si="2">IF(M8&gt;0,N8*100/M8,0)</f>
        <v>107.61005494568522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4186684</v>
      </c>
      <c r="M10" s="30">
        <f t="shared" ca="1" si="4"/>
        <v>2179425</v>
      </c>
      <c r="N10" s="30">
        <f t="shared" ca="1" si="4"/>
        <v>2345280.44</v>
      </c>
      <c r="O10" s="29">
        <f t="shared" ca="1" si="1"/>
        <v>56.017612984404842</v>
      </c>
      <c r="P10" s="29">
        <f t="shared" ca="1" si="2"/>
        <v>107.61005494568522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4150184</v>
      </c>
      <c r="M12" s="38">
        <f t="shared" ca="1" si="6"/>
        <v>2142925</v>
      </c>
      <c r="N12" s="38">
        <f t="shared" ca="1" si="6"/>
        <v>2308780.44</v>
      </c>
      <c r="O12" s="38">
        <f t="shared" ca="1" si="1"/>
        <v>55.630797092369882</v>
      </c>
      <c r="P12" s="38">
        <f t="shared" ca="1" si="2"/>
        <v>107.73967544361095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2391184</v>
      </c>
      <c r="M14" s="38">
        <f t="shared" si="8"/>
        <v>0</v>
      </c>
      <c r="N14" s="38">
        <f t="shared" ca="1" si="8"/>
        <v>527874</v>
      </c>
      <c r="O14" s="38">
        <f t="shared" ca="1" si="1"/>
        <v>22.075841926008202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2789540</v>
      </c>
      <c r="M18" s="23">
        <f t="shared" ca="1" si="11"/>
        <v>2179425</v>
      </c>
      <c r="N18" s="23">
        <f t="shared" ca="1" si="11"/>
        <v>1817406.44</v>
      </c>
      <c r="O18" s="22">
        <f t="shared" ref="O18:O20" ca="1" si="12">IF(L18&gt;0,N18*100/L18,0)</f>
        <v>65.150757472558197</v>
      </c>
      <c r="P18" s="22">
        <f t="shared" ref="P18:P26" ca="1" si="13">IF(M18&gt;0,N18*100/M18,0)</f>
        <v>83.389262764261218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2789540</v>
      </c>
      <c r="M20" s="30">
        <f t="shared" ca="1" si="15"/>
        <v>2179425</v>
      </c>
      <c r="N20" s="30">
        <f t="shared" ca="1" si="15"/>
        <v>1817406.44</v>
      </c>
      <c r="O20" s="29">
        <f t="shared" ca="1" si="12"/>
        <v>65.150757472558197</v>
      </c>
      <c r="P20" s="29">
        <f t="shared" ca="1" si="13"/>
        <v>83.389262764261218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2753040</v>
      </c>
      <c r="M22" s="41">
        <f t="shared" ca="1" si="18"/>
        <v>2142925</v>
      </c>
      <c r="N22" s="38">
        <f t="shared" ca="1" si="18"/>
        <v>1780906.44</v>
      </c>
      <c r="O22" s="38">
        <f t="shared" ca="1" si="17"/>
        <v>64.688723738122221</v>
      </c>
      <c r="P22" s="38">
        <f t="shared" ca="1" si="13"/>
        <v>83.106335499375859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994040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1397144</v>
      </c>
      <c r="M28" s="23">
        <f t="shared" si="23"/>
        <v>0</v>
      </c>
      <c r="N28" s="23">
        <f t="shared" ca="1" si="23"/>
        <v>527874</v>
      </c>
      <c r="O28" s="22">
        <f t="shared" ref="O28:O30" ca="1" si="24">IF(L28&gt;0,N28*100/L28,0)</f>
        <v>37.782361732219442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1397144</v>
      </c>
      <c r="M30" s="30">
        <f t="shared" si="27"/>
        <v>0</v>
      </c>
      <c r="N30" s="30">
        <f t="shared" ca="1" si="27"/>
        <v>527874</v>
      </c>
      <c r="O30" s="29">
        <f t="shared" ca="1" si="24"/>
        <v>37.782361732219442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1397144</v>
      </c>
      <c r="M32" s="38">
        <f t="shared" si="30"/>
        <v>0</v>
      </c>
      <c r="N32" s="38">
        <f t="shared" ca="1" si="30"/>
        <v>527874</v>
      </c>
      <c r="O32" s="38">
        <f t="shared" ca="1" si="29"/>
        <v>37.782361732219442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1397144</v>
      </c>
      <c r="M34" s="38">
        <f t="shared" si="32"/>
        <v>0</v>
      </c>
      <c r="N34" s="38">
        <f t="shared" ca="1" si="32"/>
        <v>527874</v>
      </c>
      <c r="O34" s="38">
        <f t="shared" ca="1" si="29"/>
        <v>37.782361732219442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2789540</v>
      </c>
      <c r="M37" s="54">
        <f t="shared" ca="1" si="33"/>
        <v>2179425</v>
      </c>
      <c r="N37" s="54">
        <f t="shared" ca="1" si="33"/>
        <v>1817406.44</v>
      </c>
      <c r="O37" s="55">
        <f t="shared" ca="1" si="29"/>
        <v>65.150757472558197</v>
      </c>
      <c r="P37" s="55">
        <f t="shared" ca="1" si="25"/>
        <v>83.389262764261218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494300</v>
      </c>
      <c r="N41" s="78">
        <f t="shared" ca="1" si="34"/>
        <v>461811.16</v>
      </c>
      <c r="O41" s="77">
        <f t="shared" ref="O41:O43" ca="1" si="35">IF(L41&gt;0,N41*100/L41,0)</f>
        <v>70.06693369746624</v>
      </c>
      <c r="P41" s="77">
        <f t="shared" ref="P41:P43" ca="1" si="36">IF(M41&gt;0,N41*100/M41,0)</f>
        <v>93.4273032571313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494300</v>
      </c>
      <c r="N43" s="78">
        <f t="shared" ca="1" si="38"/>
        <v>461811.16</v>
      </c>
      <c r="O43" s="77">
        <f t="shared" ca="1" si="35"/>
        <v>70.06693369746624</v>
      </c>
      <c r="P43" s="77">
        <f t="shared" ca="1" si="36"/>
        <v>93.4273032571313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622">
        <f ca="1">IFERROR(__xludf.DUMMYFUNCTION("IMPORTRANGE(""https://docs.google.com/spreadsheets/d/1Yj_ptqi66GCucihVvJfMjLAmec39IyEx_6qawtMGysU/edit?usp=sharing"",""สบก!Q55"")"),494300)</f>
        <v>494300</v>
      </c>
      <c r="N45" s="622">
        <f ca="1">IFERROR(__xludf.DUMMYFUNCTION("IMPORTRANGE(""https://docs.google.com/spreadsheets/d/1Yj_ptqi66GCucihVvJfMjLAmec39IyEx_6qawtMGysU/edit?usp=sharing"",""สบก!R55"")"),461811.16)</f>
        <v>461811.16</v>
      </c>
      <c r="O45" s="623">
        <f ca="1">IF(L45&gt;0,N45*100/L45,0)</f>
        <v>70.06693369746624</v>
      </c>
      <c r="P45" s="623">
        <f ca="1">IF(M45&gt;0,N45*100/M45,0)</f>
        <v>93.4273032571313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IFERROR(__xludf.DUMMYFUNCTION("IMPORTRANGE(""https://docs.google.com/spreadsheets/d/1Yj_ptqi66GCucihVvJfMjLAmec39IyEx_6qawtMGysU/edit?usp=sharing"",""สบก!M55"")"),659100)</f>
        <v>659100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IFERROR(__xludf.DUMMYFUNCTION("IMPORTRANGE(""https://docs.google.com/spreadsheets/d/1Yj_ptqi66GCucihVvJfMjLAmec39IyEx_6qawtMGysU/edit?usp=sharing"",""สบก!N55"")"),0)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IFERROR(__xludf.DUMMYFUNCTION("IMPORTRANGE(""https://docs.google.com/spreadsheets/d/1Yj_ptqi66GCucihVvJfMjLAmec39IyEx_6qawtMGysU/edit?usp=sharing"",""สบก!O55"")"),0)</f>
        <v>0</v>
      </c>
      <c r="M49" s="625"/>
      <c r="N49" s="622">
        <f ca="1">IFERROR(__xludf.DUMMYFUNCTION("IMPORTRANGE(""https://docs.google.com/spreadsheets/d/1Yj_ptqi66GCucihVvJfMjLAmec39IyEx_6qawtMGysU/edit?usp=sharing"",""สบก!S55"")"),0)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361800</v>
      </c>
      <c r="N53" s="121">
        <f t="shared" ca="1" si="39"/>
        <v>291438</v>
      </c>
      <c r="O53" s="120">
        <f t="shared" ref="O53:O55" ca="1" si="40">IF(L53&gt;0,N53*100/L53,0)</f>
        <v>60.414179104477611</v>
      </c>
      <c r="P53" s="120">
        <f t="shared" ref="P53:P55" ca="1" si="41">IF(M53&gt;0,N53*100/M53,0)</f>
        <v>80.552238805970148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361800</v>
      </c>
      <c r="N55" s="121">
        <f t="shared" ca="1" si="43"/>
        <v>291438</v>
      </c>
      <c r="O55" s="120">
        <f t="shared" ca="1" si="40"/>
        <v>60.414179104477611</v>
      </c>
      <c r="P55" s="120">
        <f t="shared" ca="1" si="41"/>
        <v>80.552238805970148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622">
        <f ca="1">IFERROR(__xludf.DUMMYFUNCTION("IMPORTRANGE(""https://docs.google.com/spreadsheets/d/1Yj_ptqi66GCucihVvJfMjLAmec39IyEx_6qawtMGysU/edit?usp=sharing"",""สบก!Z55"")"),361800)</f>
        <v>361800</v>
      </c>
      <c r="N57" s="622">
        <f ca="1">IFERROR(__xludf.DUMMYFUNCTION("IMPORTRANGE(""https://docs.google.com/spreadsheets/d/1Yj_ptqi66GCucihVvJfMjLAmec39IyEx_6qawtMGysU/edit?usp=sharing"",""สบก!AA55"")"),291438)</f>
        <v>291438</v>
      </c>
      <c r="O57" s="623">
        <f ca="1">IF(L57&gt;0,N57*100/L57,0)</f>
        <v>60.414179104477611</v>
      </c>
      <c r="P57" s="623">
        <f ca="1">IF(M57&gt;0,N57*100/M57,0)</f>
        <v>80.552238805970148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IFERROR(__xludf.DUMMYFUNCTION("IMPORTRANGE(""https://docs.google.com/spreadsheets/d/1Yj_ptqi66GCucihVvJfMjLAmec39IyEx_6qawtMGysU/edit?usp=sharing"",""สบก!V55"")"),482400)</f>
        <v>482400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IFERROR(__xludf.DUMMYFUNCTION("IMPORTRANGE(""https://docs.google.com/spreadsheets/d/1Yj_ptqi66GCucihVvJfMjLAmec39IyEx_6qawtMGysU/edit?usp=sharing"",""สบก!W55"")"),0)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IFERROR(__xludf.DUMMYFUNCTION("IMPORTRANGE(""https://docs.google.com/spreadsheets/d/1Yj_ptqi66GCucihVvJfMjLAmec39IyEx_6qawtMGysU/edit?usp=sharing"",""สบก!X55"")"),0)</f>
        <v>0</v>
      </c>
      <c r="M61" s="625"/>
      <c r="N61" s="622">
        <f ca="1">IFERROR(__xludf.DUMMYFUNCTION("IMPORTRANGE(""https://docs.google.com/spreadsheets/d/1Yj_ptqi66GCucihVvJfMjLAmec39IyEx_6qawtMGysU/edit?usp=sharing"",""สบก!AB55"")"),0)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636820</v>
      </c>
      <c r="N66" s="152">
        <f t="shared" ca="1" si="45"/>
        <v>534682.28</v>
      </c>
      <c r="O66" s="151">
        <f t="shared" ref="O66:O68" ca="1" si="46">IF(L66&gt;0,N66*100/L66,0)</f>
        <v>68.804823060095231</v>
      </c>
      <c r="P66" s="151">
        <f t="shared" ref="P66:P68" ca="1" si="47">IF(M66&gt;0,N66*100/M66,0)</f>
        <v>83.961288904242963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636820</v>
      </c>
      <c r="N68" s="157">
        <f t="shared" ca="1" si="49"/>
        <v>534682.28</v>
      </c>
      <c r="O68" s="156">
        <f t="shared" ca="1" si="46"/>
        <v>68.804823060095231</v>
      </c>
      <c r="P68" s="156">
        <f t="shared" ca="1" si="47"/>
        <v>83.961288904242963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777100</v>
      </c>
      <c r="M70" s="626">
        <f ca="1">IFERROR(__xludf.DUMMYFUNCTION("IMPORTRANGE(""https://docs.google.com/spreadsheets/d/1Yj_ptqi66GCucihVvJfMjLAmec39IyEx_6qawtMGysU/edit?usp=sharing"",""สบก!AI55"")"),636820)</f>
        <v>636820</v>
      </c>
      <c r="N70" s="627">
        <f ca="1">IFERROR(__xludf.DUMMYFUNCTION("IMPORTRANGE(""https://docs.google.com/spreadsheets/d/1Yj_ptqi66GCucihVvJfMjLAmec39IyEx_6qawtMGysU/edit?usp=sharing"",""สบก!AJ55"")"),534682.28)</f>
        <v>534682.28</v>
      </c>
      <c r="O70" s="169">
        <f ca="1">IF(L70&gt;0,N70*100/L70,0)</f>
        <v>68.804823060095231</v>
      </c>
      <c r="P70" s="169">
        <f ca="1">IF(M70&gt;0,N70*100/M70,0)</f>
        <v>83.961288904242963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IFERROR(__xludf.DUMMYFUNCTION("IMPORTRANGE(""https://docs.google.com/spreadsheets/d/1Yj_ptqi66GCucihVvJfMjLAmec39IyEx_6qawtMGysU/edit?usp=sharing"",""สบก!AF55"")"),465600)</f>
        <v>465600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IFERROR(__xludf.DUMMYFUNCTION("IMPORTRANGE(""https://docs.google.com/spreadsheets/d/1Yj_ptqi66GCucihVvJfMjLAmec39IyEx_6qawtMGysU/edit?usp=sharing"",""สบก!AG55"")"),0)</f>
        <v>0</v>
      </c>
      <c r="M74" s="625"/>
      <c r="N74" s="622">
        <f ca="1">IFERROR(__xludf.DUMMYFUNCTION("IMPORTRANGE(""https://docs.google.com/spreadsheets/d/1Yj_ptqi66GCucihVvJfMjLAmec39IyEx_6qawtMGysU/edit?usp=sharing"",""สบก!AK55"")"),0)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IFERROR(__xludf.DUMMYFUNCTION("IMPORTRANGE(""https://docs.google.com/spreadsheets/d/1Yj_ptqi66GCucihVvJfMjLAmec39IyEx_6qawtMGysU/edit?usp=sharing"",""สบก!AR55"")"),0)</f>
        <v>0</v>
      </c>
      <c r="N98" s="627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IFERROR(__xludf.DUMMYFUNCTION("IMPORTRANGE(""https://docs.google.com/spreadsheets/d/1Yj_ptqi66GCucihVvJfMjLAmec39IyEx_6qawtMGysU/edit?usp=sharing"",""สบก!AP55"")"),0)</f>
        <v>0</v>
      </c>
      <c r="M102" s="625"/>
      <c r="N102" s="622">
        <f ca="1">IFERROR(__xludf.DUMMYFUNCTION("IMPORTRANGE(""https://docs.google.com/spreadsheets/d/1Yj_ptqi66GCucihVvJfMjLAmec39IyEx_6qawtMGysU/edit?usp=sharing"",""สบก!AT55"")"),0)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IFERROR(__xludf.DUMMYFUNCTION("IMPORTRANGE(""https://docs.google.com/spreadsheets/d/1Yj_ptqi66GCucihVvJfMjLAmec39IyEx_6qawtMGysU/edit?usp=sharing"",""สบก!BA55"")"),0)</f>
        <v>0</v>
      </c>
      <c r="N122" s="627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IFERROR(__xludf.DUMMYFUNCTION("IMPORTRANGE(""https://docs.google.com/spreadsheets/d/1Yj_ptqi66GCucihVvJfMjLAmec39IyEx_6qawtMGysU/edit?usp=sharing"",""สบก!AY55"")"),0)</f>
        <v>0</v>
      </c>
      <c r="M126" s="625"/>
      <c r="N126" s="622">
        <f ca="1">IFERROR(__xludf.DUMMYFUNCTION("IMPORTRANGE(""https://docs.google.com/spreadsheets/d/1Yj_ptqi66GCucihVvJfMjLAmec39IyEx_6qawtMGysU/edit?usp=sharing"",""สบก!BC55"")"),0)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77100</v>
      </c>
      <c r="M140" s="152">
        <f t="shared" ca="1" si="64"/>
        <v>49375</v>
      </c>
      <c r="N140" s="152">
        <f t="shared" ca="1" si="64"/>
        <v>44100</v>
      </c>
      <c r="O140" s="151">
        <f t="shared" ref="O140:O142" ca="1" si="65">IF(L140&gt;0,N140*100/L140,0)</f>
        <v>57.19844357976654</v>
      </c>
      <c r="P140" s="151">
        <f t="shared" ref="P140:P142" ca="1" si="66">IF(M140&gt;0,N140*100/M140,0)</f>
        <v>89.316455696202539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77100</v>
      </c>
      <c r="M142" s="157">
        <f t="shared" ca="1" si="68"/>
        <v>49375</v>
      </c>
      <c r="N142" s="157">
        <f t="shared" ca="1" si="68"/>
        <v>44100</v>
      </c>
      <c r="O142" s="156">
        <f t="shared" ca="1" si="65"/>
        <v>57.19844357976654</v>
      </c>
      <c r="P142" s="156">
        <f t="shared" ca="1" si="66"/>
        <v>89.316455696202539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77100</v>
      </c>
      <c r="M144" s="626">
        <f ca="1">IFERROR(__xludf.DUMMYFUNCTION("IMPORTRANGE(""https://docs.google.com/spreadsheets/d/1Yj_ptqi66GCucihVvJfMjLAmec39IyEx_6qawtMGysU/edit?usp=sharing"",""สบก!BJ55"")"),49375)</f>
        <v>49375</v>
      </c>
      <c r="N144" s="627">
        <f ca="1">IFERROR(__xludf.DUMMYFUNCTION("IMPORTRANGE(""https://docs.google.com/spreadsheets/d/1Yj_ptqi66GCucihVvJfMjLAmec39IyEx_6qawtMGysU/edit?usp=sharing"",""สบก!BK55"")"),44100)</f>
        <v>44100</v>
      </c>
      <c r="O144" s="169">
        <f ca="1">IF(L144&gt;0,N144*100/L144,0)</f>
        <v>57.19844357976654</v>
      </c>
      <c r="P144" s="169">
        <f ca="1">IF(M144&gt;0,N144*100/M144,0)</f>
        <v>89.316455696202539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IFERROR(__xludf.DUMMYFUNCTION("IMPORTRANGE(""https://docs.google.com/spreadsheets/d/1Yj_ptqi66GCucihVvJfMjLAmec39IyEx_6qawtMGysU/edit?usp=sharing"",""สบก!BG55"")"),77100)</f>
        <v>77100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IFERROR(__xludf.DUMMYFUNCTION("IMPORTRANGE(""https://docs.google.com/spreadsheets/d/1Yj_ptqi66GCucihVvJfMjLAmec39IyEx_6qawtMGysU/edit?usp=sharing"",""สบก!BH55"")"),0)</f>
        <v>0</v>
      </c>
      <c r="M148" s="625"/>
      <c r="N148" s="622">
        <f ca="1">IFERROR(__xludf.DUMMYFUNCTION("IMPORTRANGE(""https://docs.google.com/spreadsheets/d/1Yj_ptqi66GCucihVvJfMjLAmec39IyEx_6qawtMGysU/edit?usp=sharing"",""สบก!BL55"")"),0)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IFERROR(__xludf.DUMMYFUNCTION("IMPORTRANGE(""https://docs.google.com/spreadsheets/d/1XL5vhW3sbDhbH9Cz0tuDiY8C3ctxq1tqvaCgkFb8cCA/edit?usp=sharing"",""อำนาจเจริญ!J85"")"),36)</f>
        <v>36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IFERROR(__xludf.DUMMYFUNCTION("IMPORTRANGE(""https://docs.google.com/spreadsheets/d/1Yj_ptqi66GCucihVvJfMjLAmec39IyEx_6qawtMGysU/edit?usp=sharing"",""สบก!BS55"")"),20210)</f>
        <v>20210</v>
      </c>
      <c r="N224" s="627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IFERROR(__xludf.DUMMYFUNCTION("IMPORTRANGE(""https://docs.google.com/spreadsheets/d/1Yj_ptqi66GCucihVvJfMjLAmec39IyEx_6qawtMGysU/edit?usp=sharing"",""สบก!BQ55"")"),0)</f>
        <v>0</v>
      </c>
      <c r="M228" s="625"/>
      <c r="N228" s="622">
        <f ca="1">IFERROR(__xludf.DUMMYFUNCTION("IMPORTRANGE(""https://docs.google.com/spreadsheets/d/1Yj_ptqi66GCucihVvJfMjLAmec39IyEx_6qawtMGysU/edit?usp=sharing"",""สบก!BU55"")"),0)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695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695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IFERROR(__xludf.DUMMYFUNCTION("IMPORTRANGE(""https://docs.google.com/spreadsheets/d/1Yj_ptqi66GCucihVvJfMjLAmec39IyEx_6qawtMGysU/edit?usp=sharing"",""สบก!CB55"")"),0)</f>
        <v>0</v>
      </c>
      <c r="N254" s="627">
        <f ca="1">IFERROR(__xludf.DUMMYFUNCTION("IMPORTRANGE(""https://docs.google.com/spreadsheets/d/1Yj_ptqi66GCucihVvJfMjLAmec39IyEx_6qawtMGysU/edit?usp=sharing"",""สบก!CC55"")"),695)</f>
        <v>695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IFERROR(__xludf.DUMMYFUNCTION("IMPORTRANGE(""https://docs.google.com/spreadsheets/d/1Yj_ptqi66GCucihVvJfMjLAmec39IyEx_6qawtMGysU/edit?usp=sharing"",""สบก!BZ55"")"),0)</f>
        <v>0</v>
      </c>
      <c r="M258" s="625"/>
      <c r="N258" s="622">
        <f ca="1">IFERROR(__xludf.DUMMYFUNCTION("IMPORTRANGE(""https://docs.google.com/spreadsheets/d/1Yj_ptqi66GCucihVvJfMjLAmec39IyEx_6qawtMGysU/edit?usp=sharing"",""สบก!CD55"")"),0)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31555</v>
      </c>
      <c r="O271" s="151">
        <f t="shared" ref="O271:O273" ca="1" si="84">IF(L271&gt;0,N271*100/L271,0)</f>
        <v>57.164855072463766</v>
      </c>
      <c r="P271" s="151">
        <f t="shared" ref="P271:P273" ca="1" si="85">IF(M271&gt;0,N271*100/M271,0)</f>
        <v>97.844961240310084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31555</v>
      </c>
      <c r="O273" s="156">
        <f t="shared" ca="1" si="84"/>
        <v>57.164855072463766</v>
      </c>
      <c r="P273" s="156">
        <f t="shared" ca="1" si="85"/>
        <v>97.844961240310084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IFERROR(__xludf.DUMMYFUNCTION("IMPORTRANGE(""https://docs.google.com/spreadsheets/d/1Yj_ptqi66GCucihVvJfMjLAmec39IyEx_6qawtMGysU/edit?usp=sharing"",""สบก!CK55"")"),32250)</f>
        <v>32250</v>
      </c>
      <c r="N275" s="627">
        <f ca="1">IFERROR(__xludf.DUMMYFUNCTION("IMPORTRANGE(""https://docs.google.com/spreadsheets/d/1Yj_ptqi66GCucihVvJfMjLAmec39IyEx_6qawtMGysU/edit?usp=sharing"",""สบก!CL55"")"),31555)</f>
        <v>31555</v>
      </c>
      <c r="O275" s="169">
        <f ca="1">IF(L275&gt;0,N275*100/L275,0)</f>
        <v>57.164855072463766</v>
      </c>
      <c r="P275" s="169">
        <f ca="1">IF(M275&gt;0,N275*100/M275,0)</f>
        <v>97.844961240310084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IFERROR(__xludf.DUMMYFUNCTION("IMPORTRANGE(""https://docs.google.com/spreadsheets/d/1Yj_ptqi66GCucihVvJfMjLAmec39IyEx_6qawtMGysU/edit?usp=sharing"",""สบก!CI55"")"),0)</f>
        <v>0</v>
      </c>
      <c r="M279" s="625"/>
      <c r="N279" s="622">
        <f ca="1">IFERROR(__xludf.DUMMYFUNCTION("IMPORTRANGE(""https://docs.google.com/spreadsheets/d/1Yj_ptqi66GCucihVvJfMjLAmec39IyEx_6qawtMGysU/edit?usp=sharing"",""สบก!CM55"")"),0)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IFERROR(__xludf.DUMMYFUNCTION("IMPORTRANGE(""https://docs.google.com/spreadsheets/d/1Yj_ptqi66GCucihVvJfMjLAmec39IyEx_6qawtMGysU/edit?usp=sharing"",""สบก!CT55"")"),0)</f>
        <v>0</v>
      </c>
      <c r="N294" s="627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IFERROR(__xludf.DUMMYFUNCTION("IMPORTRANGE(""https://docs.google.com/spreadsheets/d/1Yj_ptqi66GCucihVvJfMjLAmec39IyEx_6qawtMGysU/edit?usp=sharing"",""สบก!CR55"")"),0)</f>
        <v>0</v>
      </c>
      <c r="M298" s="625"/>
      <c r="N298" s="622">
        <f ca="1">IFERROR(__xludf.DUMMYFUNCTION("IMPORTRANGE(""https://docs.google.com/spreadsheets/d/1Yj_ptqi66GCucihVvJfMjLAmec39IyEx_6qawtMGysU/edit?usp=sharing"",""สบก!CV55"")"),0)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IFERROR(__xludf.DUMMYFUNCTION("IMPORTRANGE(""https://docs.google.com/spreadsheets/d/1Yj_ptqi66GCucihVvJfMjLAmec39IyEx_6qawtMGysU/edit?usp=sharing"",""สบก!DC55"")"),0)</f>
        <v>0</v>
      </c>
      <c r="N314" s="627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IFERROR(__xludf.DUMMYFUNCTION("IMPORTRANGE(""https://docs.google.com/spreadsheets/d/1Yj_ptqi66GCucihVvJfMjLAmec39IyEx_6qawtMGysU/edit?usp=sharing"",""สบก!DA55"")"),0)</f>
        <v>0</v>
      </c>
      <c r="M318" s="625"/>
      <c r="N318" s="622">
        <f ca="1">IFERROR(__xludf.DUMMYFUNCTION("IMPORTRANGE(""https://docs.google.com/spreadsheets/d/1Yj_ptqi66GCucihVvJfMjLAmec39IyEx_6qawtMGysU/edit?usp=sharing"",""สบก!DE55"")"),0)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IFERROR(__xludf.DUMMYFUNCTION("IMPORTRANGE(""https://docs.google.com/spreadsheets/d/1XL5vhW3sbDhbH9Cz0tuDiY8C3ctxq1tqvaCgkFb8cCA/edit?usp=sharing"",""อำนาจเจริญ!J228"")"),228)</f>
        <v>228</v>
      </c>
      <c r="K328" s="318">
        <f ca="1">IF(I328&gt;0,J328*100/I328,0)</f>
        <v>52.534562211981566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584670</v>
      </c>
      <c r="N329" s="152">
        <f t="shared" ca="1" si="98"/>
        <v>432915</v>
      </c>
      <c r="O329" s="151">
        <f t="shared" ref="O329:O331" ca="1" si="99">IF(L329&gt;0,N329*100/L329,0)</f>
        <v>60.258480297314982</v>
      </c>
      <c r="P329" s="151">
        <f t="shared" ref="P329:P331" ca="1" si="100">IF(M329&gt;0,N329*100/M329,0)</f>
        <v>74.044332700497719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584670</v>
      </c>
      <c r="N331" s="157">
        <f t="shared" ca="1" si="102"/>
        <v>432915</v>
      </c>
      <c r="O331" s="156">
        <f t="shared" ca="1" si="99"/>
        <v>60.258480297314982</v>
      </c>
      <c r="P331" s="156">
        <f t="shared" ca="1" si="100"/>
        <v>74.044332700497719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6">
        <f ca="1">IFERROR(__xludf.DUMMYFUNCTION("IMPORTRANGE(""https://docs.google.com/spreadsheets/d/1Yj_ptqi66GCucihVvJfMjLAmec39IyEx_6qawtMGysU/edit?usp=sharing"",""สบก!DL55"")"),548170)</f>
        <v>548170</v>
      </c>
      <c r="N333" s="627">
        <f ca="1">IFERROR(__xludf.DUMMYFUNCTION("IMPORTRANGE(""https://docs.google.com/spreadsheets/d/1Yj_ptqi66GCucihVvJfMjLAmec39IyEx_6qawtMGysU/edit?usp=sharing"",""สบก!DM55"")"),396415)</f>
        <v>396415</v>
      </c>
      <c r="O333" s="169">
        <f ca="1">IF(L333&gt;0,N333*100/L333,0)</f>
        <v>58.131333128033667</v>
      </c>
      <c r="P333" s="169">
        <f ca="1">IF(M333&gt;0,N333*100/M333,0)</f>
        <v>72.316069832351275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IFERROR(__xludf.DUMMYFUNCTION("IMPORTRANGE(""https://docs.google.com/spreadsheets/d/1Yj_ptqi66GCucihVvJfMjLAmec39IyEx_6qawtMGysU/edit?usp=sharing"",""สบก!DJ55"")"),36500)</f>
        <v>36500</v>
      </c>
      <c r="M337" s="625">
        <f ca="1">L337</f>
        <v>36500</v>
      </c>
      <c r="N337" s="622">
        <f ca="1">IFERROR(__xludf.DUMMYFUNCTION("IMPORTRANGE(""https://docs.google.com/spreadsheets/d/1Yj_ptqi66GCucihVvJfMjLAmec39IyEx_6qawtMGysU/edit?usp=sharing"",""สบก!DN55"")"),36500)</f>
        <v>36500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IFERROR(__xludf.DUMMYFUNCTION("IMPORTRANGE(""https://docs.google.com/spreadsheets/d/1XL5vhW3sbDhbH9Cz0tuDiY8C3ctxq1tqvaCgkFb8cCA/edit?usp=sharing"",""อำนาจเจริญ!J234"")"),156)</f>
        <v>156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IFERROR(__xludf.DUMMYFUNCTION("IMPORTRANGE(""https://docs.google.com/spreadsheets/d/1XL5vhW3sbDhbH9Cz0tuDiY8C3ctxq1tqvaCgkFb8cCA/edit?usp=sharing"",""อำนาจเจริญ!J235"")"),1589.97)</f>
        <v>1589.97</v>
      </c>
      <c r="K340" s="343">
        <f t="shared" ca="1" si="103"/>
        <v>79.498500000000007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IFERROR(__xludf.DUMMYFUNCTION("IMPORTRANGE(""https://docs.google.com/spreadsheets/d/1XL5vhW3sbDhbH9Cz0tuDiY8C3ctxq1tqvaCgkFb8cCA/edit?usp=sharing"",""อำนาจเจริญ!J236"")"),253)</f>
        <v>253</v>
      </c>
      <c r="K341" s="343">
        <f t="shared" ca="1" si="103"/>
        <v>58.294930875576036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IFERROR(__xludf.DUMMYFUNCTION("IMPORTRANGE(""https://docs.google.com/spreadsheets/d/1XL5vhW3sbDhbH9Cz0tuDiY8C3ctxq1tqvaCgkFb8cCA/edit?usp=sharing"",""อำนาจเจริญ!J237"")"),2407.1)</f>
        <v>2407.1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IFERROR(__xludf.DUMMYFUNCTION("IMPORTRANGE(""https://docs.google.com/spreadsheets/d/1XL5vhW3sbDhbH9Cz0tuDiY8C3ctxq1tqvaCgkFb8cCA/edit?usp=sharing"",""อำนาจเจริญ!J238"")"),9)</f>
        <v>9</v>
      </c>
      <c r="K343" s="343">
        <f t="shared" ca="1" si="103"/>
        <v>2.0737327188940093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IFERROR(__xludf.DUMMYFUNCTION("IMPORTRANGE(""https://docs.google.com/spreadsheets/d/1XL5vhW3sbDhbH9Cz0tuDiY8C3ctxq1tqvaCgkFb8cCA/edit?usp=sharing"",""อำนาจเจริญ!J239"")"),56.88)</f>
        <v>56.88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IFERROR(__xludf.DUMMYFUNCTION("IMPORTRANGE(""https://docs.google.com/spreadsheets/d/1XL5vhW3sbDhbH9Cz0tuDiY8C3ctxq1tqvaCgkFb8cCA/edit?usp=sharing"",""อำนาจเจริญ!J240"")"),228)</f>
        <v>228</v>
      </c>
      <c r="K345" s="343">
        <f t="shared" ca="1" si="103"/>
        <v>52.534562211981566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IFERROR(__xludf.DUMMYFUNCTION("IMPORTRANGE(""https://docs.google.com/spreadsheets/d/1XL5vhW3sbDhbH9Cz0tuDiY8C3ctxq1tqvaCgkFb8cCA/edit?usp=sharing"",""อำนาจเจริญ!J241"")"),2130.75)</f>
        <v>2130.75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IFERROR(__xludf.DUMMYFUNCTION("IMPORTRANGE(""https://docs.google.com/spreadsheets/d/1XL5vhW3sbDhbH9Cz0tuDiY8C3ctxq1tqvaCgkFb8cCA/edit?usp=sharing"",""อำนาจเจริญ!L242"")"),1397144)</f>
        <v>1397144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IFERROR(__xludf.DUMMYFUNCTION("IMPORTRANGE(""https://docs.google.com/spreadsheets/d/1XL5vhW3sbDhbH9Cz0tuDiY8C3ctxq1tqvaCgkFb8cCA/edit?usp=sharing"",""อำนาจเจริญ!M242"")"),527874)</f>
        <v>527874</v>
      </c>
      <c r="O347" s="358">
        <f ca="1">+IF(L347&gt;0,N347*100/L347,0)</f>
        <v>37.782361732219442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IFERROR(__xludf.DUMMYFUNCTION("IMPORTRANGE(""https://docs.google.com/spreadsheets/d/1XL5vhW3sbDhbH9Cz0tuDiY8C3ctxq1tqvaCgkFb8cCA/edit?usp=sharing"",""อำนาจเจริญ!M244"")"),223720)</f>
        <v>223720</v>
      </c>
      <c r="O349" s="373">
        <f ca="1">+IF(L349&gt;0,N349*100/L349,0)</f>
        <v>69.207449112169769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IFERROR(__xludf.DUMMYFUNCTION("IMPORTRANGE(""https://docs.google.com/spreadsheets/d/1XL5vhW3sbDhbH9Cz0tuDiY8C3ctxq1tqvaCgkFb8cCA/edit?usp=sharing"",""อำนาจเจริญ!M247"")"),223720)</f>
        <v>223720</v>
      </c>
      <c r="O352" s="165">
        <f t="shared" ca="1" si="105"/>
        <v>69.207449112169769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IFERROR(__xludf.DUMMYFUNCTION("IMPORTRANGE(""https://docs.google.com/spreadsheets/d/1XL5vhW3sbDhbH9Cz0tuDiY8C3ctxq1tqvaCgkFb8cCA/edit?usp=sharing"",""อำนาจเจริญ!M249"")"),223720)</f>
        <v>223720</v>
      </c>
      <c r="O354" s="169">
        <f t="shared" ca="1" si="105"/>
        <v>69.207449112169769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IFERROR(__xludf.DUMMYFUNCTION("IMPORTRANGE(""https://docs.google.com/spreadsheets/d/1XL5vhW3sbDhbH9Cz0tuDiY8C3ctxq1tqvaCgkFb8cCA/edit?usp=sharing"",""อำนาจเจริญ!M252"")"),67050)</f>
        <v>67050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IFERROR(__xludf.DUMMYFUNCTION("IMPORTRANGE(""https://docs.google.com/spreadsheets/d/1XL5vhW3sbDhbH9Cz0tuDiY8C3ctxq1tqvaCgkFb8cCA/edit?usp=sharing"",""อำนาจเจริญ!M253"")"),10170)</f>
        <v>10170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IFERROR(__xludf.DUMMYFUNCTION("IMPORTRANGE(""https://docs.google.com/spreadsheets/d/1XL5vhW3sbDhbH9Cz0tuDiY8C3ctxq1tqvaCgkFb8cCA/edit?usp=sharing"",""อำนาจเจริญ!M275"")"),37875)</f>
        <v>37875</v>
      </c>
      <c r="O380" s="373">
        <f ca="1">+IF(L380&gt;0,N380*100/L380,0)</f>
        <v>8.2311905072369278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IFERROR(__xludf.DUMMYFUNCTION("IMPORTRANGE(""https://docs.google.com/spreadsheets/d/1XL5vhW3sbDhbH9Cz0tuDiY8C3ctxq1tqvaCgkFb8cCA/edit?usp=sharing"",""อำนาจเจริญ!M278"")"),37875)</f>
        <v>37875</v>
      </c>
      <c r="O383" s="165">
        <f t="shared" ca="1" si="109"/>
        <v>8.2311905072369278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IFERROR(__xludf.DUMMYFUNCTION("IMPORTRANGE(""https://docs.google.com/spreadsheets/d/1XL5vhW3sbDhbH9Cz0tuDiY8C3ctxq1tqvaCgkFb8cCA/edit?usp=sharing"",""อำนาจเจริญ!M280"")"),37875)</f>
        <v>37875</v>
      </c>
      <c r="O385" s="169">
        <f t="shared" ca="1" si="109"/>
        <v>8.2311905072369278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IFERROR(__xludf.DUMMYFUNCTION("IMPORTRANGE(""https://docs.google.com/spreadsheets/d/1XL5vhW3sbDhbH9Cz0tuDiY8C3ctxq1tqvaCgkFb8cCA/edit?usp=sharing"",""อำนาจเจริญ!M281"")"),33695)</f>
        <v>33695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IFERROR(__xludf.DUMMYFUNCTION("IMPORTRANGE(""https://docs.google.com/spreadsheets/d/1XL5vhW3sbDhbH9Cz0tuDiY8C3ctxq1tqvaCgkFb8cCA/edit?usp=sharing"",""อำนาจเจริญ!M284"")"),4180)</f>
        <v>4180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IFERROR(__xludf.DUMMYFUNCTION("IMPORTRANGE(""https://docs.google.com/spreadsheets/d/1XL5vhW3sbDhbH9Cz0tuDiY8C3ctxq1tqvaCgkFb8cCA/edit?usp=sharing"",""อำนาจเจริญ!J296"")"),75)</f>
        <v>75</v>
      </c>
      <c r="K401" s="372">
        <f t="shared" ref="K401:K402" ca="1" si="111">IF(I401&gt;0,J401*100/I401,0)</f>
        <v>45.454545454545453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IFERROR(__xludf.DUMMYFUNCTION("IMPORTRANGE(""https://docs.google.com/spreadsheets/d/1XL5vhW3sbDhbH9Cz0tuDiY8C3ctxq1tqvaCgkFb8cCA/edit?usp=sharing"",""อำนาจเจริญ!M296"")"),70614)</f>
        <v>70614</v>
      </c>
      <c r="O401" s="373">
        <f ca="1">+IF(L401&gt;0,N401*100/L401,0)</f>
        <v>40.985547623193455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IFERROR(__xludf.DUMMYFUNCTION("IMPORTRANGE(""https://docs.google.com/spreadsheets/d/1XL5vhW3sbDhbH9Cz0tuDiY8C3ctxq1tqvaCgkFb8cCA/edit?usp=sharing"",""อำนาจเจริญ!M299"")"),70614)</f>
        <v>70614</v>
      </c>
      <c r="O404" s="169">
        <f t="shared" ca="1" si="112"/>
        <v>40.985547623193455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IFERROR(__xludf.DUMMYFUNCTION("IMPORTRANGE(""https://docs.google.com/spreadsheets/d/1XL5vhW3sbDhbH9Cz0tuDiY8C3ctxq1tqvaCgkFb8cCA/edit?usp=sharing"",""อำนาจเจริญ!M301"")"),70614)</f>
        <v>70614</v>
      </c>
      <c r="O406" s="169">
        <f t="shared" ca="1" si="112"/>
        <v>40.985547623193455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IFERROR(__xludf.DUMMYFUNCTION("IMPORTRANGE(""https://docs.google.com/spreadsheets/d/1XL5vhW3sbDhbH9Cz0tuDiY8C3ctxq1tqvaCgkFb8cCA/edit?usp=sharing"",""อำนาจเจริญ!M302"")"),63880)</f>
        <v>63880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IFERROR(__xludf.DUMMYFUNCTION("IMPORTRANGE(""https://docs.google.com/spreadsheets/d/1XL5vhW3sbDhbH9Cz0tuDiY8C3ctxq1tqvaCgkFb8cCA/edit?usp=sharing"",""อำนาจเจริญ!M305"")"),6734)</f>
        <v>6734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IFERROR(__xludf.DUMMYFUNCTION("IMPORTRANGE(""https://docs.google.com/spreadsheets/d/1XL5vhW3sbDhbH9Cz0tuDiY8C3ctxq1tqvaCgkFb8cCA/edit?usp=sharing"",""อำนาจเจริญ!M330"")"),70940)</f>
        <v>70940</v>
      </c>
      <c r="O435" s="412">
        <f t="shared" ref="O435:O439" ca="1" si="114">+IF(L435&gt;0,N435*100/L435,0)</f>
        <v>66.924528301886795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IFERROR(__xludf.DUMMYFUNCTION("IMPORTRANGE(""https://docs.google.com/spreadsheets/d/1XL5vhW3sbDhbH9Cz0tuDiY8C3ctxq1tqvaCgkFb8cCA/edit?usp=sharing"",""อำนาจเจริญ!M332"")"),70940)</f>
        <v>70940</v>
      </c>
      <c r="O437" s="169">
        <f t="shared" ca="1" si="114"/>
        <v>66.924528301886795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IFERROR(__xludf.DUMMYFUNCTION("IMPORTRANGE(""https://docs.google.com/spreadsheets/d/1XL5vhW3sbDhbH9Cz0tuDiY8C3ctxq1tqvaCgkFb8cCA/edit?usp=sharing"",""อำนาจเจริญ!M334"")"),70940)</f>
        <v>70940</v>
      </c>
      <c r="O439" s="169">
        <f t="shared" ca="1" si="114"/>
        <v>66.924528301886795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IFERROR(__xludf.DUMMYFUNCTION("IMPORTRANGE(""https://docs.google.com/spreadsheets/d/1XL5vhW3sbDhbH9Cz0tuDiY8C3ctxq1tqvaCgkFb8cCA/edit?usp=sharing"",""อำนาจเจริญ!M338"")"),35540)</f>
        <v>35540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IFERROR(__xludf.DUMMYFUNCTION("IMPORTRANGE(""https://docs.google.com/spreadsheets/d/1XL5vhW3sbDhbH9Cz0tuDiY8C3ctxq1tqvaCgkFb8cCA/edit?usp=sharing"",""อำนาจเจริญ!L350"")"),169284)</f>
        <v>169284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IFERROR(__xludf.DUMMYFUNCTION("IMPORTRANGE(""https://docs.google.com/spreadsheets/d/1XL5vhW3sbDhbH9Cz0tuDiY8C3ctxq1tqvaCgkFb8cCA/edit?usp=sharing"",""อำนาจเจริญ!M350"")"),43730)</f>
        <v>43730</v>
      </c>
      <c r="O455" s="373">
        <f t="shared" ref="O455:O459" ca="1" si="116">+IF(L455&gt;0,N455*100/L455,0)</f>
        <v>25.832329103754638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IFERROR(__xludf.DUMMYFUNCTION("IMPORTRANGE(""https://docs.google.com/spreadsheets/d/1XL5vhW3sbDhbH9Cz0tuDiY8C3ctxq1tqvaCgkFb8cCA/edit?usp=sharing"",""อำนาจเจริญ!L352"")"),169284)</f>
        <v>169284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IFERROR(__xludf.DUMMYFUNCTION("IMPORTRANGE(""https://docs.google.com/spreadsheets/d/1XL5vhW3sbDhbH9Cz0tuDiY8C3ctxq1tqvaCgkFb8cCA/edit?usp=sharing"",""อำนาจเจริญ!M352"")"),43730)</f>
        <v>43730</v>
      </c>
      <c r="O457" s="169">
        <f t="shared" ca="1" si="116"/>
        <v>25.832329103754638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IFERROR(__xludf.DUMMYFUNCTION("IMPORTRANGE(""https://docs.google.com/spreadsheets/d/1XL5vhW3sbDhbH9Cz0tuDiY8C3ctxq1tqvaCgkFb8cCA/edit?usp=sharing"",""อำนาจเจริญ!L354"")"),169284)</f>
        <v>169284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IFERROR(__xludf.DUMMYFUNCTION("IMPORTRANGE(""https://docs.google.com/spreadsheets/d/1XL5vhW3sbDhbH9Cz0tuDiY8C3ctxq1tqvaCgkFb8cCA/edit?usp=sharing"",""อำนาจเจริญ!M354"")"),43730)</f>
        <v>43730</v>
      </c>
      <c r="O459" s="169">
        <f t="shared" ca="1" si="116"/>
        <v>25.832329103754638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IFERROR(__xludf.DUMMYFUNCTION("IMPORTRANGE(""https://docs.google.com/spreadsheets/d/1XL5vhW3sbDhbH9Cz0tuDiY8C3ctxq1tqvaCgkFb8cCA/edit?usp=sharing"",""อำนาจเจริญ!M358"")"),43730)</f>
        <v>43730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IFERROR(__xludf.DUMMYFUNCTION("IMPORTRANGE(""https://docs.google.com/spreadsheets/d/1XL5vhW3sbDhbH9Cz0tuDiY8C3ctxq1tqvaCgkFb8cCA/edit?usp=sharing"",""อำนาจเจริญ!J370"")"),11365)</f>
        <v>11365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IFERROR(__xludf.DUMMYFUNCTION("IMPORTRANGE(""https://docs.google.com/spreadsheets/d/1XL5vhW3sbDhbH9Cz0tuDiY8C3ctxq1tqvaCgkFb8cCA/edit?usp=sharing"",""อำนาจเจริญ!J372"")"),1911)</f>
        <v>1911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IFERROR(__xludf.DUMMYFUNCTION("IMPORTRANGE(""https://docs.google.com/spreadsheets/d/1XL5vhW3sbDhbH9Cz0tuDiY8C3ctxq1tqvaCgkFb8cCA/edit?usp=sharing"",""อำนาจเจริญ!J373"")"),572)</f>
        <v>572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IFERROR(__xludf.DUMMYFUNCTION("IMPORTRANGE(""https://docs.google.com/spreadsheets/d/1XL5vhW3sbDhbH9Cz0tuDiY8C3ctxq1tqvaCgkFb8cCA/edit?usp=sharing"",""อำนาจเจริญ!J374"")"),237)</f>
        <v>237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IFERROR(__xludf.DUMMYFUNCTION("IMPORTRANGE(""https://docs.google.com/spreadsheets/d/1XL5vhW3sbDhbH9Cz0tuDiY8C3ctxq1tqvaCgkFb8cCA/edit?usp=sharing"",""อำนาจเจริญ!J375"")"),67)</f>
        <v>67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IFERROR(__xludf.DUMMYFUNCTION("IMPORTRANGE(""https://docs.google.com/spreadsheets/d/1XL5vhW3sbDhbH9Cz0tuDiY8C3ctxq1tqvaCgkFb8cCA/edit?usp=sharing"",""อำนาจเจริญ!I392"")"),1404)</f>
        <v>1404</v>
      </c>
      <c r="J497" s="443">
        <f ca="1">IFERROR(__xludf.DUMMYFUNCTION("IMPORTRANGE(""https://docs.google.com/spreadsheets/d/1XL5vhW3sbDhbH9Cz0tuDiY8C3ctxq1tqvaCgkFb8cCA/edit?usp=sharing"",""อำนาจเจริญ!J392"")"),904)</f>
        <v>904</v>
      </c>
      <c r="K497" s="444">
        <f t="shared" ca="1" si="117"/>
        <v>64.387464387464391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IFERROR(__xludf.DUMMYFUNCTION("IMPORTRANGE(""https://docs.google.com/spreadsheets/d/1XL5vhW3sbDhbH9Cz0tuDiY8C3ctxq1tqvaCgkFb8cCA/edit?usp=sharing"",""อำนาจเจริญ!J393"")"),904)</f>
        <v>904</v>
      </c>
      <c r="K498" s="202">
        <f t="shared" ca="1" si="117"/>
        <v>74.281018898931805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IFERROR(__xludf.DUMMYFUNCTION("IMPORTRANGE(""https://docs.google.com/spreadsheets/d/1XL5vhW3sbDhbH9Cz0tuDiY8C3ctxq1tqvaCgkFb8cCA/edit?usp=sharing"",""อำนาจเจริญ!J394"")"),69)</f>
        <v>69</v>
      </c>
      <c r="K499" s="202">
        <f t="shared" ca="1" si="117"/>
        <v>65.094339622641513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IFERROR(__xludf.DUMMYFUNCTION("IMPORTRANGE(""https://docs.google.com/spreadsheets/d/1XL5vhW3sbDhbH9Cz0tuDiY8C3ctxq1tqvaCgkFb8cCA/edit?usp=sharing"",""อำนาจเจริญ!J395"")"),889)</f>
        <v>889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IFERROR(__xludf.DUMMYFUNCTION("IMPORTRANGE(""https://docs.google.com/spreadsheets/d/1XL5vhW3sbDhbH9Cz0tuDiY8C3ctxq1tqvaCgkFb8cCA/edit?usp=sharing"",""อำนาจเจริญ!J396"")"),66)</f>
        <v>66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IFERROR(__xludf.DUMMYFUNCTION("IMPORTRANGE(""https://docs.google.com/spreadsheets/d/1XL5vhW3sbDhbH9Cz0tuDiY8C3ctxq1tqvaCgkFb8cCA/edit?usp=sharing"",""อำนาจเจริญ!J397"")"),871)</f>
        <v>871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IFERROR(__xludf.DUMMYFUNCTION("IMPORTRANGE(""https://docs.google.com/spreadsheets/d/1XL5vhW3sbDhbH9Cz0tuDiY8C3ctxq1tqvaCgkFb8cCA/edit?usp=sharing"",""อำนาจเจริญ!J398"")"),64)</f>
        <v>64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IFERROR(__xludf.DUMMYFUNCTION("IMPORTRANGE(""https://docs.google.com/spreadsheets/d/1XL5vhW3sbDhbH9Cz0tuDiY8C3ctxq1tqvaCgkFb8cCA/edit?usp=sharing"",""อำนาจเจริญ!J399"")"),18)</f>
        <v>18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IFERROR(__xludf.DUMMYFUNCTION("IMPORTRANGE(""https://docs.google.com/spreadsheets/d/1XL5vhW3sbDhbH9Cz0tuDiY8C3ctxq1tqvaCgkFb8cCA/edit?usp=sharing"",""อำนาจเจริญ!J407"")"),10)</f>
        <v>10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IFERROR(__xludf.DUMMYFUNCTION("IMPORTRANGE(""https://docs.google.com/spreadsheets/d/1XL5vhW3sbDhbH9Cz0tuDiY8C3ctxq1tqvaCgkFb8cCA/edit?usp=sharing"",""อำนาจเจริญ!M430"")"),23700)</f>
        <v>23700</v>
      </c>
      <c r="O535" s="169">
        <f t="shared" ca="1" si="118"/>
        <v>69.015725101921959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IFERROR(__xludf.DUMMYFUNCTION("IMPORTRANGE(""https://docs.google.com/spreadsheets/d/1XL5vhW3sbDhbH9Cz0tuDiY8C3ctxq1tqvaCgkFb8cCA/edit?usp=sharing"",""อำนาจเจริญ!M432"")"),23700)</f>
        <v>23700</v>
      </c>
      <c r="O537" s="169">
        <f t="shared" ca="1" si="118"/>
        <v>69.015725101921959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IFERROR(__xludf.DUMMYFUNCTION("IMPORTRANGE(""https://docs.google.com/spreadsheets/d/1XL5vhW3sbDhbH9Cz0tuDiY8C3ctxq1tqvaCgkFb8cCA/edit?usp=sharing"",""อำนาจเจริญ!J459"")"),1216)</f>
        <v>1216</v>
      </c>
      <c r="K564" s="372">
        <f ca="1">IF(I564&gt;0,J564*100/I564,0)</f>
        <v>83.287671232876718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IFERROR(__xludf.DUMMYFUNCTION("IMPORTRANGE(""https://docs.google.com/spreadsheets/d/1XL5vhW3sbDhbH9Cz0tuDiY8C3ctxq1tqvaCgkFb8cCA/edit?usp=sharing"",""อำนาจเจริญ!M459"")"),56295)</f>
        <v>56295</v>
      </c>
      <c r="O564" s="373">
        <f t="shared" ref="O564:O568" ca="1" si="122">+IF(L564&gt;0,N564*100/L564,0)</f>
        <v>44.22925832809554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IFERROR(__xludf.DUMMYFUNCTION("IMPORTRANGE(""https://docs.google.com/spreadsheets/d/1XL5vhW3sbDhbH9Cz0tuDiY8C3ctxq1tqvaCgkFb8cCA/edit?usp=sharing"",""อำนาจเจริญ!M461"")"),56295)</f>
        <v>56295</v>
      </c>
      <c r="O566" s="169">
        <f t="shared" ca="1" si="122"/>
        <v>44.22925832809554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IFERROR(__xludf.DUMMYFUNCTION("IMPORTRANGE(""https://docs.google.com/spreadsheets/d/1XL5vhW3sbDhbH9Cz0tuDiY8C3ctxq1tqvaCgkFb8cCA/edit?usp=sharing"",""อำนาจเจริญ!M463"")"),56295)</f>
        <v>56295</v>
      </c>
      <c r="O568" s="169">
        <f t="shared" ca="1" si="122"/>
        <v>44.22925832809554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IFERROR(__xludf.DUMMYFUNCTION("IMPORTRANGE(""https://docs.google.com/spreadsheets/d/1XL5vhW3sbDhbH9Cz0tuDiY8C3ctxq1tqvaCgkFb8cCA/edit?usp=sharing"",""อำนาจเจริญ!M466"")"),44000)</f>
        <v>44000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IFERROR(__xludf.DUMMYFUNCTION("IMPORTRANGE(""https://docs.google.com/spreadsheets/d/1XL5vhW3sbDhbH9Cz0tuDiY8C3ctxq1tqvaCgkFb8cCA/edit?usp=sharing"",""อำนาจเจริญ!M467"")"),12295)</f>
        <v>12295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IFERROR(__xludf.DUMMYFUNCTION("IMPORTRANGE(""https://docs.google.com/spreadsheets/d/1XL5vhW3sbDhbH9Cz0tuDiY8C3ctxq1tqvaCgkFb8cCA/edit?usp=sharing"",""อำนาจเจริญ!J468"")"),1216)</f>
        <v>1216</v>
      </c>
      <c r="K573" s="202">
        <f ca="1">IF(I573&gt;0,J573*100/I573,0)</f>
        <v>83.287671232876718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IFERROR(__xludf.DUMMYFUNCTION("IMPORTRANGE(""https://docs.google.com/spreadsheets/d/1XL5vhW3sbDhbH9Cz0tuDiY8C3ctxq1tqvaCgkFb8cCA/edit?usp=sharing"",""อำนาจเจริญ!J470"")"),7)</f>
        <v>7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IFERROR(__xludf.DUMMYFUNCTION("IMPORTRANGE(""https://docs.google.com/spreadsheets/d/1XL5vhW3sbDhbH9Cz0tuDiY8C3ctxq1tqvaCgkFb8cCA/edit?usp=sharing"",""อำนาจเจริญ!J471"")"),101)</f>
        <v>101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IFERROR(__xludf.DUMMYFUNCTION("IMPORTRANGE(""https://docs.google.com/spreadsheets/d/1XL5vhW3sbDhbH9Cz0tuDiY8C3ctxq1tqvaCgkFb8cCA/edit?usp=sharing"",""อำนาจเจริญ!J472"")"),1114)</f>
        <v>1114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21.978021978021978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21.978021978021978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21.978021978021978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IFERROR(__xludf.DUMMYFUNCTION("IMPORTRANGE(""https://docs.google.com/spreadsheets/d/1XL5vhW3sbDhbH9Cz0tuDiY8C3ctxq1tqvaCgkFb8cCA/edit?usp=sharing"",""อำนาจเจริญ!J166"")"),0)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IFERROR(__xludf.DUMMYFUNCTION("IMPORTRANGE(""https://docs.google.com/spreadsheets/d/1XL5vhW3sbDhbH9Cz0tuDiY8C3ctxq1tqvaCgkFb8cCA/edit?usp=sharing"",""อำนาจเจริญ!J166"")"),0)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IFERROR(__xludf.DUMMYFUNCTION("IMPORTRANGE(""https://docs.google.com/spreadsheets/d/1XL5vhW3sbDhbH9Cz0tuDiY8C3ctxq1tqvaCgkFb8cCA/edit?usp=sharing"",""อำนาจเจริญ!J523"")"),3118091.44)</f>
        <v>3118091.44</v>
      </c>
      <c r="K628" s="343">
        <f t="shared" ref="K628:K635" ca="1" si="129">IF(I628&gt;0,J628*100/I628,0)</f>
        <v>77.757905039429573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IFERROR(__xludf.DUMMYFUNCTION("IMPORTRANGE(""https://docs.google.com/spreadsheets/d/1XL5vhW3sbDhbH9Cz0tuDiY8C3ctxq1tqvaCgkFb8cCA/edit?usp=sharing"",""อำนาจเจริญ!J524"")"),260)</f>
        <v>260</v>
      </c>
      <c r="K629" s="343">
        <f t="shared" ca="1" si="129"/>
        <v>74.074074074074076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IFERROR(__xludf.DUMMYFUNCTION("IMPORTRANGE(""https://docs.google.com/spreadsheets/d/1XL5vhW3sbDhbH9Cz0tuDiY8C3ctxq1tqvaCgkFb8cCA/edit?usp=sharing"",""อำนาจเจริญ!J525"")"),710118.7)</f>
        <v>710118.7</v>
      </c>
      <c r="K630" s="343">
        <f t="shared" ca="1" si="129"/>
        <v>18.223487280851529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IFERROR(__xludf.DUMMYFUNCTION("IMPORTRANGE(""https://docs.google.com/spreadsheets/d/1XL5vhW3sbDhbH9Cz0tuDiY8C3ctxq1tqvaCgkFb8cCA/edit?usp=sharing"",""อำนาจเจริญ!J526"")"),132)</f>
        <v>132</v>
      </c>
      <c r="K631" s="343">
        <f t="shared" ca="1" si="129"/>
        <v>59.728506787330318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IFERROR(__xludf.DUMMYFUNCTION("IMPORTRANGE(""https://docs.google.com/spreadsheets/d/1XL5vhW3sbDhbH9Cz0tuDiY8C3ctxq1tqvaCgkFb8cCA/edit?usp=sharing"",""อำนาจเจริญ!J527"")"),31372.75)</f>
        <v>31372.75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IFERROR(__xludf.DUMMYFUNCTION("IMPORTRANGE(""https://docs.google.com/spreadsheets/d/1XL5vhW3sbDhbH9Cz0tuDiY8C3ctxq1tqvaCgkFb8cCA/edit?usp=sharing"",""อำนาจเจริญ!J530"")"),155)</f>
        <v>155</v>
      </c>
      <c r="K635" s="486">
        <f t="shared" ca="1" si="129"/>
        <v>103.33333333333333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IFERROR(__xludf.DUMMYFUNCTION("IMPORTRANGE(""https://docs.google.com/spreadsheets/d/1XL5vhW3sbDhbH9Cz0tuDiY8C3ctxq1tqvaCgkFb8cCA/edit#gid=346597447"",""อำนาจเจริญ!J541"")"),0)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IFERROR(__xludf.DUMMYFUNCTION("IMPORTRANGE(""https://docs.google.com/spreadsheets/d/1XL5vhW3sbDhbH9Cz0tuDiY8C3ctxq1tqvaCgkFb8cCA/edit#gid=346597447"",""อำนาจเจริญ!J542"")"),0)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IFERROR(__xludf.DUMMYFUNCTION("IMPORTRANGE(""https://docs.google.com/spreadsheets/d/1XL5vhW3sbDhbH9Cz0tuDiY8C3ctxq1tqvaCgkFb8cCA/edit#gid=346597447"",""อำนาจเจริญ!I543"")"),0)</f>
        <v>0</v>
      </c>
      <c r="J648" s="585">
        <f ca="1">IFERROR(__xludf.DUMMYFUNCTION("IMPORTRANGE(""https://docs.google.com/spreadsheets/d/1XL5vhW3sbDhbH9Cz0tuDiY8C3ctxq1tqvaCgkFb8cCA/edit#gid=346597447"",""อำนาจเจริญ!J543"")"),0)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IFERROR(__xludf.DUMMYFUNCTION("IMPORTRANGE(""https://docs.google.com/spreadsheets/d/1XL5vhW3sbDhbH9Cz0tuDiY8C3ctxq1tqvaCgkFb8cCA/edit#gid=346597447"",""อำนาจเจริญ!L543"")"),0)</f>
        <v>0</v>
      </c>
      <c r="M648" s="570"/>
      <c r="N648" s="587">
        <f ca="1">IFERROR(__xludf.DUMMYFUNCTION("IMPORTRANGE(""https://docs.google.com/spreadsheets/d/1XL5vhW3sbDhbH9Cz0tuDiY8C3ctxq1tqvaCgkFb8cCA/edit#gid=346597447"",""อำนาจเจริญ!M543"")"),0)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IFERROR(__xludf.DUMMYFUNCTION("IMPORTRANGE(""https://docs.google.com/spreadsheets/d/1XL5vhW3sbDhbH9Cz0tuDiY8C3ctxq1tqvaCgkFb8cCA/edit#gid=346597447"",""อำนาจเจริญ!I544"")"),0)</f>
        <v>0</v>
      </c>
      <c r="J649" s="585">
        <f ca="1">IFERROR(__xludf.DUMMYFUNCTION("IMPORTRANGE(""https://docs.google.com/spreadsheets/d/1XL5vhW3sbDhbH9Cz0tuDiY8C3ctxq1tqvaCgkFb8cCA/edit#gid=346597447"",""อำนาจเจริญ!J544"")"),0)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IFERROR(__xludf.DUMMYFUNCTION("IMPORTRANGE(""https://docs.google.com/spreadsheets/d/1XL5vhW3sbDhbH9Cz0tuDiY8C3ctxq1tqvaCgkFb8cCA/edit#gid=346597447"",""อำนาจเจริญ!L544"")"),0)</f>
        <v>0</v>
      </c>
      <c r="M649" s="570"/>
      <c r="N649" s="587">
        <f ca="1">IFERROR(__xludf.DUMMYFUNCTION("IMPORTRANGE(""https://docs.google.com/spreadsheets/d/1XL5vhW3sbDhbH9Cz0tuDiY8C3ctxq1tqvaCgkFb8cCA/edit#gid=346597447"",""อำนาจเจริญ!M544"")"),0)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IFERROR(__xludf.DUMMYFUNCTION("IMPORTRANGE(""https://docs.google.com/spreadsheets/d/1XL5vhW3sbDhbH9Cz0tuDiY8C3ctxq1tqvaCgkFb8cCA/edit#gid=346597447"",""อำนาจเจริญ!I545"")"),0)</f>
        <v>0</v>
      </c>
      <c r="J650" s="585">
        <f ca="1">IFERROR(__xludf.DUMMYFUNCTION("IMPORTRANGE(""https://docs.google.com/spreadsheets/d/1XL5vhW3sbDhbH9Cz0tuDiY8C3ctxq1tqvaCgkFb8cCA/edit#gid=346597447"",""อำนาจเจริญ!J545"")"),0)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IFERROR(__xludf.DUMMYFUNCTION("IMPORTRANGE(""https://docs.google.com/spreadsheets/d/1XL5vhW3sbDhbH9Cz0tuDiY8C3ctxq1tqvaCgkFb8cCA/edit#gid=346597447"",""อำนาจเจริญ!L545"")"),0)</f>
        <v>0</v>
      </c>
      <c r="M650" s="570"/>
      <c r="N650" s="587">
        <f ca="1">IFERROR(__xludf.DUMMYFUNCTION("IMPORTRANGE(""https://docs.google.com/spreadsheets/d/1XL5vhW3sbDhbH9Cz0tuDiY8C3ctxq1tqvaCgkFb8cCA/edit#gid=346597447"",""อำนาจเจริญ!M545"")"),0)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IFERROR(__xludf.DUMMYFUNCTION("IMPORTRANGE(""https://docs.google.com/spreadsheets/d/1XL5vhW3sbDhbH9Cz0tuDiY8C3ctxq1tqvaCgkFb8cCA/edit#gid=346597447"",""อำนาจเจริญ!I546"")"),0)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IFERROR(__xludf.DUMMYFUNCTION("IMPORTRANGE(""https://docs.google.com/spreadsheets/d/1XL5vhW3sbDhbH9Cz0tuDiY8C3ctxq1tqvaCgkFb8cCA/edit#gid=346597447"",""อำนาจเจริญ!L546"")"),0)</f>
        <v>0</v>
      </c>
      <c r="M651" s="570"/>
      <c r="N651" s="587">
        <f ca="1">IFERROR(__xludf.DUMMYFUNCTION("IMPORTRANGE(""https://docs.google.com/spreadsheets/d/1XL5vhW3sbDhbH9Cz0tuDiY8C3ctxq1tqvaCgkFb8cCA/edit#gid=346597447"",""อำนาจเจริญ!M546"")"),0)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IFERROR(__xludf.DUMMYFUNCTION("IMPORTRANGE(""https://docs.google.com/spreadsheets/d/1XL5vhW3sbDhbH9Cz0tuDiY8C3ctxq1tqvaCgkFb8cCA/edit#gid=346597447"",""อำนาจเจริญ!J547"")"),0)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IFERROR(__xludf.DUMMYFUNCTION("IMPORTRANGE(""https://docs.google.com/spreadsheets/d/1XL5vhW3sbDhbH9Cz0tuDiY8C3ctxq1tqvaCgkFb8cCA/edit#gid=346597447"",""อำนาจเจริญ!J548"")"),0)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IFERROR(__xludf.DUMMYFUNCTION("IMPORTRANGE(""https://docs.google.com/spreadsheets/d/1XL5vhW3sbDhbH9Cz0tuDiY8C3ctxq1tqvaCgkFb8cCA/edit#gid=346597447"",""อำนาจเจริญ!J550"")"),0)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IFERROR(__xludf.DUMMYFUNCTION("IMPORTRANGE(""https://docs.google.com/spreadsheets/d/1XL5vhW3sbDhbH9Cz0tuDiY8C3ctxq1tqvaCgkFb8cCA/edit#gid=346597447"",""อำนาจเจริญ!J551"")"),0)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IFERROR(__xludf.DUMMYFUNCTION("IMPORTRANGE(""https://docs.google.com/spreadsheets/d/1XL5vhW3sbDhbH9Cz0tuDiY8C3ctxq1tqvaCgkFb8cCA/edit#gid=346597447"",""อำนาจเจริญ!J552"")"),0)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IFERROR(__xludf.DUMMYFUNCTION("IMPORTRANGE(""https://docs.google.com/spreadsheets/d/1XL5vhW3sbDhbH9Cz0tuDiY8C3ctxq1tqvaCgkFb8cCA/edit#gid=346597447"",""อำนาจเจริญ!J553"")"),0)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IFERROR(__xludf.DUMMYFUNCTION("IMPORTRANGE(""https://docs.google.com/spreadsheets/d/1XL5vhW3sbDhbH9Cz0tuDiY8C3ctxq1tqvaCgkFb8cCA/edit#gid=346597447"",""อำนาจเจริญ!J554"")"),0)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IFERROR(__xludf.DUMMYFUNCTION("IMPORTRANGE(""https://docs.google.com/spreadsheets/d/1XL5vhW3sbDhbH9Cz0tuDiY8C3ctxq1tqvaCgkFb8cCA/edit#gid=346597447"",""อำนาจเจริญ!J555"")"),0)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IFERROR(__xludf.DUMMYFUNCTION("IMPORTRANGE(""https://docs.google.com/spreadsheets/d/1XL5vhW3sbDhbH9Cz0tuDiY8C3ctxq1tqvaCgkFb8cCA/edit#gid=346597447"",""อำนาจเจริญ!J556"")"),0)</f>
        <v>0</v>
      </c>
      <c r="K661" s="586"/>
      <c r="L661" s="571">
        <f ca="1">IFERROR(__xludf.DUMMYFUNCTION("IMPORTRANGE(""https://docs.google.com/spreadsheets/d/1XL5vhW3sbDhbH9Cz0tuDiY8C3ctxq1tqvaCgkFb8cCA/edit#gid=346597447"",""อำนาจเจริญ!L556"")"),0)</f>
        <v>0</v>
      </c>
      <c r="M661" s="570"/>
      <c r="N661" s="587">
        <f ca="1">IFERROR(__xludf.DUMMYFUNCTION("IMPORTRANGE(""https://docs.google.com/spreadsheets/d/1XL5vhW3sbDhbH9Cz0tuDiY8C3ctxq1tqvaCgkFb8cCA/edit#gid=346597447"",""อำนาจเจริญ!M556"")"),0)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IFERROR(__xludf.DUMMYFUNCTION("IMPORTRANGE(""https://docs.google.com/spreadsheets/d/1XL5vhW3sbDhbH9Cz0tuDiY8C3ctxq1tqvaCgkFb8cCA/edit#gid=346597447"",""อำนาจเจริญ!J557"")"),0)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IFERROR(__xludf.DUMMYFUNCTION("IMPORTRANGE(""https://docs.google.com/spreadsheets/d/1XL5vhW3sbDhbH9Cz0tuDiY8C3ctxq1tqvaCgkFb8cCA/edit#gid=346597447"",""อำนาจเจริญ!I558"")"),0)</f>
        <v>0</v>
      </c>
      <c r="J663" s="585">
        <f ca="1">IFERROR(__xludf.DUMMYFUNCTION("IMPORTRANGE(""https://docs.google.com/spreadsheets/d/1XL5vhW3sbDhbH9Cz0tuDiY8C3ctxq1tqvaCgkFb8cCA/edit#gid=346597447"",""อำนาจเจริญ!J558"")"),0)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IFERROR(__xludf.DUMMYFUNCTION("IMPORTRANGE(""https://docs.google.com/spreadsheets/d/1XL5vhW3sbDhbH9Cz0tuDiY8C3ctxq1tqvaCgkFb8cCA/edit#gid=346597447"",""อำนาจเจริญ!I560"")"),0)</f>
        <v>0</v>
      </c>
      <c r="J665" s="585">
        <f ca="1">IFERROR(__xludf.DUMMYFUNCTION("IMPORTRANGE(""https://docs.google.com/spreadsheets/d/1XL5vhW3sbDhbH9Cz0tuDiY8C3ctxq1tqvaCgkFb8cCA/edit#gid=346597447"",""อำนาจเจริญ!J560"")"),0)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IFERROR(__xludf.DUMMYFUNCTION("IMPORTRANGE(""https://docs.google.com/spreadsheets/d/1XL5vhW3sbDhbH9Cz0tuDiY8C3ctxq1tqvaCgkFb8cCA/edit#gid=346597447"",""อำนาจเจริญ!L560"")"),0)</f>
        <v>0</v>
      </c>
      <c r="M665" s="570"/>
      <c r="N665" s="587">
        <f ca="1">IFERROR(__xludf.DUMMYFUNCTION("IMPORTRANGE(""https://docs.google.com/spreadsheets/d/1XL5vhW3sbDhbH9Cz0tuDiY8C3ctxq1tqvaCgkFb8cCA/edit#gid=346597447"",""อำนาจเจริญ!M560"")"),0)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IFERROR(__xludf.DUMMYFUNCTION("IMPORTRANGE(""https://docs.google.com/spreadsheets/d/1XL5vhW3sbDhbH9Cz0tuDiY8C3ctxq1tqvaCgkFb8cCA/edit#gid=346597447"",""อำนาจเจริญ!J561"")"),0)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IFERROR(__xludf.DUMMYFUNCTION("IMPORTRANGE(""https://docs.google.com/spreadsheets/d/1XL5vhW3sbDhbH9Cz0tuDiY8C3ctxq1tqvaCgkFb8cCA/edit#gid=346597447"",""อำนาจเจริญ!J562"")"),0)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IFERROR(__xludf.DUMMYFUNCTION("IMPORTRANGE(""https://docs.google.com/spreadsheets/d/1XL5vhW3sbDhbH9Cz0tuDiY8C3ctxq1tqvaCgkFb8cCA/edit#gid=346597447"",""อำนาจเจริญ!I563"")"),0)</f>
        <v>0</v>
      </c>
      <c r="J668" s="585">
        <f ca="1">IFERROR(__xludf.DUMMYFUNCTION("IMPORTRANGE(""https://docs.google.com/spreadsheets/d/1XL5vhW3sbDhbH9Cz0tuDiY8C3ctxq1tqvaCgkFb8cCA/edit#gid=346597447"",""อำนาจเจริญ!J563"")"),0)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IFERROR(__xludf.DUMMYFUNCTION("IMPORTRANGE(""https://docs.google.com/spreadsheets/d/1XL5vhW3sbDhbH9Cz0tuDiY8C3ctxq1tqvaCgkFb8cCA/edit#gid=346597447"",""อำนาจเจริญ!L563"")"),0)</f>
        <v>0</v>
      </c>
      <c r="M668" s="570"/>
      <c r="N668" s="587">
        <f ca="1">IFERROR(__xludf.DUMMYFUNCTION("IMPORTRANGE(""https://docs.google.com/spreadsheets/d/1XL5vhW3sbDhbH9Cz0tuDiY8C3ctxq1tqvaCgkFb8cCA/edit#gid=346597447"",""อำนาจเจริญ!M563"")"),0)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IFERROR(__xludf.DUMMYFUNCTION("IMPORTRANGE(""https://docs.google.com/spreadsheets/d/1XL5vhW3sbDhbH9Cz0tuDiY8C3ctxq1tqvaCgkFb8cCA/edit#gid=346597447"",""อำนาจเจริญ!J564"")"),0)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IFERROR(__xludf.DUMMYFUNCTION("IMPORTRANGE(""https://docs.google.com/spreadsheets/d/1XL5vhW3sbDhbH9Cz0tuDiY8C3ctxq1tqvaCgkFb8cCA/edit#gid=346597447"",""อำนาจเจริญ!J565"")"),0)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IFERROR(__xludf.DUMMYFUNCTION("IMPORTRANGE(""https://docs.google.com/spreadsheets/d/1XL5vhW3sbDhbH9Cz0tuDiY8C3ctxq1tqvaCgkFb8cCA/edit#gid=346597447"",""อำนาจเจริญ!I566"")"),0)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IFERROR(__xludf.DUMMYFUNCTION("IMPORTRANGE(""https://docs.google.com/spreadsheets/d/1XL5vhW3sbDhbH9Cz0tuDiY8C3ctxq1tqvaCgkFb8cCA/edit#gid=346597447"",""อำนาจเจริญ!L566"")"),0)</f>
        <v>0</v>
      </c>
      <c r="M671" s="570"/>
      <c r="N671" s="587">
        <f ca="1">IFERROR(__xludf.DUMMYFUNCTION("IMPORTRANGE(""https://docs.google.com/spreadsheets/d/1XL5vhW3sbDhbH9Cz0tuDiY8C3ctxq1tqvaCgkFb8cCA/edit#gid=346597447"",""อำนาจเจริญ!M566"")"),0)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IFERROR(__xludf.DUMMYFUNCTION("IMPORTRANGE(""https://docs.google.com/spreadsheets/d/1XL5vhW3sbDhbH9Cz0tuDiY8C3ctxq1tqvaCgkFb8cCA/edit#gid=346597447"",""อำนาจเจริญ!J567"")"),0)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IFERROR(__xludf.DUMMYFUNCTION("IMPORTRANGE(""https://docs.google.com/spreadsheets/d/1XL5vhW3sbDhbH9Cz0tuDiY8C3ctxq1tqvaCgkFb8cCA/edit#gid=346597447"",""อำนาจเจริญ!J568"")"),0)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IFERROR(__xludf.DUMMYFUNCTION("IMPORTRANGE(""https://docs.google.com/spreadsheets/d/1XL5vhW3sbDhbH9Cz0tuDiY8C3ctxq1tqvaCgkFb8cCA/edit#gid=346597447"",""อำนาจเจริญ!J569"")"),0)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IFERROR(__xludf.DUMMYFUNCTION("IMPORTRANGE(""https://docs.google.com/spreadsheets/d/1XL5vhW3sbDhbH9Cz0tuDiY8C3ctxq1tqvaCgkFb8cCA/edit#gid=346597447"",""อำนาจเจริญ!J570"")"),0)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IFERROR(__xludf.DUMMYFUNCTION("IMPORTRANGE(""https://docs.google.com/spreadsheets/d/1XL5vhW3sbDhbH9Cz0tuDiY8C3ctxq1tqvaCgkFb8cCA/edit#gid=346597447"",""อำนาจเจริญ!J571"")"),0)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IFERROR(__xludf.DUMMYFUNCTION("IMPORTRANGE(""https://docs.google.com/spreadsheets/d/1XL5vhW3sbDhbH9Cz0tuDiY8C3ctxq1tqvaCgkFb8cCA/edit#gid=346597447"",""อำนาจเจริญ!J572"")"),0)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6.570312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5958055</v>
      </c>
      <c r="M8" s="23">
        <f t="shared" ca="1" si="0"/>
        <v>2665312</v>
      </c>
      <c r="N8" s="23">
        <f t="shared" ca="1" si="0"/>
        <v>3355971.27</v>
      </c>
      <c r="O8" s="22">
        <f t="shared" ref="O8:O16" ca="1" si="1">IF(L8&gt;0,N8*100/L8,0)</f>
        <v>56.326624544419275</v>
      </c>
      <c r="P8" s="22">
        <f t="shared" ref="P8:P16" ca="1" si="2">IF(M8&gt;0,N8*100/M8,0)</f>
        <v>125.91288637127661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5958055</v>
      </c>
      <c r="M10" s="30">
        <f t="shared" ca="1" si="4"/>
        <v>2665312</v>
      </c>
      <c r="N10" s="30">
        <f t="shared" ca="1" si="4"/>
        <v>3355971.27</v>
      </c>
      <c r="O10" s="29">
        <f t="shared" ca="1" si="1"/>
        <v>56.326624544419275</v>
      </c>
      <c r="P10" s="29">
        <f t="shared" ca="1" si="2"/>
        <v>125.91288637127661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5920255</v>
      </c>
      <c r="M12" s="38">
        <f t="shared" ca="1" si="6"/>
        <v>2627512</v>
      </c>
      <c r="N12" s="38">
        <f t="shared" ca="1" si="6"/>
        <v>3318171.27</v>
      </c>
      <c r="O12" s="38">
        <f t="shared" ca="1" si="1"/>
        <v>56.047776151534016</v>
      </c>
      <c r="P12" s="38">
        <f t="shared" ca="1" si="2"/>
        <v>126.28567519387161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3687255</v>
      </c>
      <c r="M14" s="38">
        <f t="shared" si="8"/>
        <v>0</v>
      </c>
      <c r="N14" s="38">
        <f t="shared" ca="1" si="8"/>
        <v>946914</v>
      </c>
      <c r="O14" s="38">
        <f t="shared" ca="1" si="1"/>
        <v>25.68072997392369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2665312</v>
      </c>
      <c r="N18" s="23">
        <f t="shared" ca="1" si="11"/>
        <v>2409057.27</v>
      </c>
      <c r="O18" s="22">
        <f t="shared" ref="O18:O20" ca="1" si="12">IF(L18&gt;0,N18*100/L18,0)</f>
        <v>69.593449011516299</v>
      </c>
      <c r="P18" s="22">
        <f t="shared" ref="P18:P26" ca="1" si="13">IF(M18&gt;0,N18*100/M18,0)</f>
        <v>90.385563491253563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2665312</v>
      </c>
      <c r="N20" s="30">
        <f t="shared" ca="1" si="15"/>
        <v>2409057.27</v>
      </c>
      <c r="O20" s="29">
        <f t="shared" ca="1" si="12"/>
        <v>69.593449011516299</v>
      </c>
      <c r="P20" s="29">
        <f t="shared" ca="1" si="13"/>
        <v>90.385563491253563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2627512</v>
      </c>
      <c r="N22" s="38">
        <f t="shared" ca="1" si="18"/>
        <v>2371257.27</v>
      </c>
      <c r="O22" s="38">
        <f t="shared" ca="1" si="17"/>
        <v>69.2577510759197</v>
      </c>
      <c r="P22" s="38">
        <f t="shared" ca="1" si="13"/>
        <v>90.247247966897959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2496440</v>
      </c>
      <c r="M28" s="23">
        <f t="shared" si="23"/>
        <v>0</v>
      </c>
      <c r="N28" s="23">
        <f t="shared" ca="1" si="23"/>
        <v>946914</v>
      </c>
      <c r="O28" s="22">
        <f t="shared" ref="O28:O30" ca="1" si="24">IF(L28&gt;0,N28*100/L28,0)</f>
        <v>37.930573136145874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2496440</v>
      </c>
      <c r="M30" s="30">
        <f t="shared" si="27"/>
        <v>0</v>
      </c>
      <c r="N30" s="30">
        <f t="shared" ca="1" si="27"/>
        <v>946914</v>
      </c>
      <c r="O30" s="29">
        <f t="shared" ca="1" si="24"/>
        <v>37.930573136145874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2496440</v>
      </c>
      <c r="M32" s="38">
        <f t="shared" si="30"/>
        <v>0</v>
      </c>
      <c r="N32" s="38">
        <f t="shared" ca="1" si="30"/>
        <v>946914</v>
      </c>
      <c r="O32" s="38">
        <f t="shared" ca="1" si="29"/>
        <v>37.930573136145874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2496440</v>
      </c>
      <c r="M34" s="38">
        <f t="shared" si="32"/>
        <v>0</v>
      </c>
      <c r="N34" s="38">
        <f t="shared" ca="1" si="32"/>
        <v>946914</v>
      </c>
      <c r="O34" s="38">
        <f t="shared" ca="1" si="29"/>
        <v>37.930573136145874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2665312</v>
      </c>
      <c r="N37" s="54">
        <f t="shared" ca="1" si="33"/>
        <v>2409057.27</v>
      </c>
      <c r="O37" s="55">
        <f t="shared" ca="1" si="29"/>
        <v>69.593449011516299</v>
      </c>
      <c r="P37" s="55">
        <f t="shared" ca="1" si="25"/>
        <v>90.385563491253563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568200</v>
      </c>
      <c r="N41" s="78">
        <f t="shared" ca="1" si="34"/>
        <v>566277.93999999994</v>
      </c>
      <c r="O41" s="77">
        <f t="shared" ref="O41:O43" ca="1" si="35">IF(L41&gt;0,N41*100/L41,0)</f>
        <v>74.746296198521634</v>
      </c>
      <c r="P41" s="77">
        <f t="shared" ref="P41:P43" ca="1" si="36">IF(M41&gt;0,N41*100/M41,0)</f>
        <v>99.661728264695512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568200</v>
      </c>
      <c r="N43" s="78">
        <f t="shared" ca="1" si="38"/>
        <v>566277.93999999994</v>
      </c>
      <c r="O43" s="77">
        <f t="shared" ca="1" si="35"/>
        <v>74.746296198521634</v>
      </c>
      <c r="P43" s="77">
        <f t="shared" ca="1" si="36"/>
        <v>99.661728264695512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IFERROR(__xludf.DUMMYFUNCTION("IMPORTRANGE(""https://docs.google.com/spreadsheets/d/1Yj_ptqi66GCucihVvJfMjLAmec39IyEx_6qawtMGysU/edit?usp=sharing"",""สบก!Q38"")"),568200)</f>
        <v>568200</v>
      </c>
      <c r="N45" s="49">
        <f ca="1">IFERROR(__xludf.DUMMYFUNCTION("IMPORTRANGE(""https://docs.google.com/spreadsheets/d/1Yj_ptqi66GCucihVvJfMjLAmec39IyEx_6qawtMGysU/edit?usp=sharing"",""สบก!R38"")"),566277.94)</f>
        <v>566277.93999999994</v>
      </c>
      <c r="O45" s="38">
        <f ca="1">IF(L45&gt;0,N45*100/L45,0)</f>
        <v>74.746296198521634</v>
      </c>
      <c r="P45" s="38">
        <f ca="1">IF(M45&gt;0,N45*100/M45,0)</f>
        <v>99.661728264695512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472002</v>
      </c>
      <c r="N53" s="121">
        <f t="shared" ca="1" si="39"/>
        <v>466365</v>
      </c>
      <c r="O53" s="120">
        <f t="shared" ref="O53:O55" ca="1" si="40">IF(L53&gt;0,N53*100/L53,0)</f>
        <v>77.727500000000006</v>
      </c>
      <c r="P53" s="120">
        <f t="shared" ref="P53:P55" ca="1" si="41">IF(M53&gt;0,N53*100/M53,0)</f>
        <v>98.805725399468642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472002</v>
      </c>
      <c r="N55" s="121">
        <f t="shared" ca="1" si="43"/>
        <v>466365</v>
      </c>
      <c r="O55" s="120">
        <f t="shared" ca="1" si="40"/>
        <v>77.727500000000006</v>
      </c>
      <c r="P55" s="120">
        <f t="shared" ca="1" si="41"/>
        <v>98.805725399468642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IFERROR(__xludf.DUMMYFUNCTION("IMPORTRANGE(""https://docs.google.com/spreadsheets/d/1Yj_ptqi66GCucihVvJfMjLAmec39IyEx_6qawtMGysU/edit?usp=sharing"",""สบก!Z38"")"),472002)</f>
        <v>472002</v>
      </c>
      <c r="N57" s="49">
        <f ca="1">IFERROR(__xludf.DUMMYFUNCTION("IMPORTRANGE(""https://docs.google.com/spreadsheets/d/1Yj_ptqi66GCucihVvJfMjLAmec39IyEx_6qawtMGysU/edit?usp=sharing"",""สบก!AA38"")"),466365)</f>
        <v>466365</v>
      </c>
      <c r="O57" s="38">
        <f ca="1">IF(L57&gt;0,N57*100/L57,0)</f>
        <v>77.727500000000006</v>
      </c>
      <c r="P57" s="38">
        <f ca="1">IF(M57&gt;0,N57*100/M57,0)</f>
        <v>98.805725399468642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63465</v>
      </c>
      <c r="O118" s="151">
        <f t="shared" ref="O118:O120" ca="1" si="59">IF(L118&gt;0,N118*100/L118,0)</f>
        <v>76.983260553129554</v>
      </c>
      <c r="P118" s="151">
        <f t="shared" ref="P118:P120" ca="1" si="60">IF(M118&gt;0,N118*100/M118,0)</f>
        <v>76.983260553129554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63465</v>
      </c>
      <c r="O120" s="156">
        <f t="shared" ca="1" si="59"/>
        <v>76.983260553129554</v>
      </c>
      <c r="P120" s="156">
        <f t="shared" ca="1" si="60"/>
        <v>76.983260553129554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IFERROR(__xludf.DUMMYFUNCTION("IMPORTRANGE(""https://docs.google.com/spreadsheets/d/1Yj_ptqi66GCucihVvJfMjLAmec39IyEx_6qawtMGysU/edit?usp=sharing"",""สบก!BA38"")"),82440)</f>
        <v>82440</v>
      </c>
      <c r="N122" s="169">
        <f ca="1">IFERROR(__xludf.DUMMYFUNCTION("IMPORTRANGE(""https://docs.google.com/spreadsheets/d/1Yj_ptqi66GCucihVvJfMjLAmec39IyEx_6qawtMGysU/edit?usp=sharing"",""สบก!BB38"")"),63465)</f>
        <v>63465</v>
      </c>
      <c r="O122" s="169">
        <f ca="1">IF(L122&gt;0,N122*100/L122,0)</f>
        <v>76.983260553129554</v>
      </c>
      <c r="P122" s="169">
        <f ca="1">IF(M122&gt;0,N122*100/M122,0)</f>
        <v>76.983260553129554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83500</v>
      </c>
      <c r="M140" s="152">
        <f t="shared" ca="1" si="64"/>
        <v>55625</v>
      </c>
      <c r="N140" s="152">
        <f t="shared" ca="1" si="64"/>
        <v>52180</v>
      </c>
      <c r="O140" s="151">
        <f t="shared" ref="O140:O142" ca="1" si="65">IF(L140&gt;0,N140*100/L140,0)</f>
        <v>62.491017964071858</v>
      </c>
      <c r="P140" s="151">
        <f t="shared" ref="P140:P142" ca="1" si="66">IF(M140&gt;0,N140*100/M140,0)</f>
        <v>93.806741573033705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83500</v>
      </c>
      <c r="M142" s="157">
        <f t="shared" ca="1" si="68"/>
        <v>55625</v>
      </c>
      <c r="N142" s="157">
        <f t="shared" ca="1" si="68"/>
        <v>52180</v>
      </c>
      <c r="O142" s="156">
        <f t="shared" ca="1" si="65"/>
        <v>62.491017964071858</v>
      </c>
      <c r="P142" s="156">
        <f t="shared" ca="1" si="66"/>
        <v>93.806741573033705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83500</v>
      </c>
      <c r="M144" s="168">
        <f ca="1">IFERROR(__xludf.DUMMYFUNCTION("IMPORTRANGE(""https://docs.google.com/spreadsheets/d/1Yj_ptqi66GCucihVvJfMjLAmec39IyEx_6qawtMGysU/edit?usp=sharing"",""สบก!BJ38"")"),55625)</f>
        <v>55625</v>
      </c>
      <c r="N144" s="169">
        <f ca="1">IFERROR(__xludf.DUMMYFUNCTION("IMPORTRANGE(""https://docs.google.com/spreadsheets/d/1Yj_ptqi66GCucihVvJfMjLAmec39IyEx_6qawtMGysU/edit?usp=sharing"",""สบก!BK38"")"),52180)</f>
        <v>52180</v>
      </c>
      <c r="O144" s="169">
        <f ca="1">IF(L144&gt;0,N144*100/L144,0)</f>
        <v>62.491017964071858</v>
      </c>
      <c r="P144" s="169">
        <f ca="1">IF(M144&gt;0,N144*100/M144,0)</f>
        <v>93.806741573033705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IFERROR(__xludf.DUMMYFUNCTION("IMPORTRANGE(""https://docs.google.com/spreadsheets/d/1Yj_ptqi66GCucihVvJfMjLAmec39IyEx_6qawtMGysU/edit?usp=sharing"",""สบก!BG38"")"),83500)</f>
        <v>83500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240000</v>
      </c>
      <c r="N250" s="152">
        <f t="shared" ca="1" si="77"/>
        <v>199060.1</v>
      </c>
      <c r="O250" s="151">
        <f t="shared" ref="O250:O252" ca="1" si="78">IF(L250&gt;0,N250*100/L250,0)</f>
        <v>59.350059630292186</v>
      </c>
      <c r="P250" s="151">
        <f t="shared" ref="P250:P252" ca="1" si="79">IF(M250&gt;0,N250*100/M250,0)</f>
        <v>82.941708333333338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240000</v>
      </c>
      <c r="N252" s="157">
        <f t="shared" ca="1" si="81"/>
        <v>199060.1</v>
      </c>
      <c r="O252" s="156">
        <f t="shared" ca="1" si="78"/>
        <v>59.350059630292186</v>
      </c>
      <c r="P252" s="156">
        <f t="shared" ca="1" si="79"/>
        <v>82.941708333333338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IFERROR(__xludf.DUMMYFUNCTION("IMPORTRANGE(""https://docs.google.com/spreadsheets/d/1Yj_ptqi66GCucihVvJfMjLAmec39IyEx_6qawtMGysU/edit?usp=sharing"",""สบก!CB38"")"),240000)</f>
        <v>240000</v>
      </c>
      <c r="N254" s="169">
        <f ca="1">IFERROR(__xludf.DUMMYFUNCTION("IMPORTRANGE(""https://docs.google.com/spreadsheets/d/1Yj_ptqi66GCucihVvJfMjLAmec39IyEx_6qawtMGysU/edit?usp=sharing"",""สบก!CC38"")"),199060.1)</f>
        <v>199060.1</v>
      </c>
      <c r="O254" s="169">
        <f ca="1">IF(L254&gt;0,N254*100/L254,0)</f>
        <v>59.350059630292186</v>
      </c>
      <c r="P254" s="169">
        <f ca="1">IF(M254&gt;0,N254*100/M254,0)</f>
        <v>82.941708333333338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121261.03</v>
      </c>
      <c r="O271" s="151">
        <f t="shared" ref="O271:O273" ca="1" si="84">IF(L271&gt;0,N271*100/L271,0)</f>
        <v>66.046312636165581</v>
      </c>
      <c r="P271" s="151">
        <f t="shared" ref="P271:P273" ca="1" si="85">IF(M271&gt;0,N271*100/M271,0)</f>
        <v>75.037766089108914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121261.03</v>
      </c>
      <c r="O273" s="156">
        <f t="shared" ca="1" si="84"/>
        <v>66.046312636165581</v>
      </c>
      <c r="P273" s="156">
        <f t="shared" ca="1" si="85"/>
        <v>75.037766089108914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IFERROR(__xludf.DUMMYFUNCTION("IMPORTRANGE(""https://docs.google.com/spreadsheets/d/1Yj_ptqi66GCucihVvJfMjLAmec39IyEx_6qawtMGysU/edit?usp=sharing"",""สบก!CK38"")"),161600)</f>
        <v>161600</v>
      </c>
      <c r="N275" s="169">
        <f ca="1">IFERROR(__xludf.DUMMYFUNCTION("IMPORTRANGE(""https://docs.google.com/spreadsheets/d/1Yj_ptqi66GCucihVvJfMjLAmec39IyEx_6qawtMGysU/edit?usp=sharing"",""สบก!CL38"")"),121261.03)</f>
        <v>121261.03</v>
      </c>
      <c r="O275" s="169">
        <f ca="1">IF(L275&gt;0,N275*100/L275,0)</f>
        <v>66.046312636165581</v>
      </c>
      <c r="P275" s="169">
        <f ca="1">IF(M275&gt;0,N275*100/M275,0)</f>
        <v>75.037766089108914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72260</v>
      </c>
      <c r="N290" s="152">
        <f t="shared" ca="1" si="88"/>
        <v>55010</v>
      </c>
      <c r="O290" s="151">
        <f t="shared" ref="O290:O292" ca="1" si="89">IF(L290&gt;0,N290*100/L290,0)</f>
        <v>76.127871574868536</v>
      </c>
      <c r="P290" s="151">
        <f t="shared" ref="P290:P292" ca="1" si="90">IF(M290&gt;0,N290*100/M290,0)</f>
        <v>76.127871574868536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72260</v>
      </c>
      <c r="N292" s="157">
        <f t="shared" ca="1" si="92"/>
        <v>55010</v>
      </c>
      <c r="O292" s="156">
        <f t="shared" ca="1" si="89"/>
        <v>76.127871574868536</v>
      </c>
      <c r="P292" s="156">
        <f t="shared" ca="1" si="90"/>
        <v>76.127871574868536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IFERROR(__xludf.DUMMYFUNCTION("IMPORTRANGE(""https://docs.google.com/spreadsheets/d/1Yj_ptqi66GCucihVvJfMjLAmec39IyEx_6qawtMGysU/edit?usp=sharing"",""สบก!CT38"")"),72260)</f>
        <v>72260</v>
      </c>
      <c r="N294" s="169">
        <f ca="1">IFERROR(__xludf.DUMMYFUNCTION("IMPORTRANGE(""https://docs.google.com/spreadsheets/d/1Yj_ptqi66GCucihVvJfMjLAmec39IyEx_6qawtMGysU/edit?usp=sharing"",""สบก!CU38"")"),55010)</f>
        <v>55010</v>
      </c>
      <c r="O294" s="169">
        <f ca="1">IF(L294&gt;0,N294*100/L294,0)</f>
        <v>76.127871574868536</v>
      </c>
      <c r="P294" s="169">
        <f ca="1">IF(M294&gt;0,N294*100/M294,0)</f>
        <v>76.127871574868536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163200</v>
      </c>
      <c r="N310" s="152">
        <f t="shared" ca="1" si="93"/>
        <v>143841.79999999999</v>
      </c>
      <c r="O310" s="151">
        <f t="shared" ref="O310:O312" ca="1" si="94">IF(L310&gt;0,N310*100/L310,0)</f>
        <v>66.103768382352939</v>
      </c>
      <c r="P310" s="151">
        <f t="shared" ref="P310:P312" ca="1" si="95">IF(M310&gt;0,N310*100/M310,0)</f>
        <v>88.138357843137243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163200</v>
      </c>
      <c r="N312" s="157">
        <f t="shared" ca="1" si="97"/>
        <v>143841.79999999999</v>
      </c>
      <c r="O312" s="156">
        <f t="shared" ca="1" si="94"/>
        <v>66.103768382352939</v>
      </c>
      <c r="P312" s="156">
        <f t="shared" ca="1" si="95"/>
        <v>88.138357843137243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IFERROR(__xludf.DUMMYFUNCTION("IMPORTRANGE(""https://docs.google.com/spreadsheets/d/1Yj_ptqi66GCucihVvJfMjLAmec39IyEx_6qawtMGysU/edit?usp=sharing"",""สบก!DC38"")"),163200)</f>
        <v>163200</v>
      </c>
      <c r="N314" s="169">
        <f ca="1">IFERROR(__xludf.DUMMYFUNCTION("IMPORTRANGE(""https://docs.google.com/spreadsheets/d/1Yj_ptqi66GCucihVvJfMjLAmec39IyEx_6qawtMGysU/edit?usp=sharing"",""สบก!DD38"")"),143841.8)</f>
        <v>143841.79999999999</v>
      </c>
      <c r="O314" s="169">
        <f ca="1">IF(L314&gt;0,N314*100/L314,0)</f>
        <v>66.103768382352939</v>
      </c>
      <c r="P314" s="169">
        <f ca="1">IF(M314&gt;0,N314*100/M314,0)</f>
        <v>88.138357843137243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IFERROR(__xludf.DUMMYFUNCTION("IMPORTRANGE(""https://docs.google.com/spreadsheets/d/1XL5vhW3sbDhbH9Cz0tuDiY8C3ctxq1tqvaCgkFb8cCA/edit?usp=sharing"",""กาฬสินธุ์!J228"")"),16)</f>
        <v>16</v>
      </c>
      <c r="K328" s="318">
        <f ca="1">IF(I328&gt;0,J328*100/I328,0)</f>
        <v>4.63768115942029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828860</v>
      </c>
      <c r="N329" s="152">
        <f t="shared" ca="1" si="98"/>
        <v>720471.4</v>
      </c>
      <c r="O329" s="151">
        <f t="shared" ref="O329:O331" ca="1" si="99">IF(L329&gt;0,N329*100/L329,0)</f>
        <v>65.019213240801733</v>
      </c>
      <c r="P329" s="151">
        <f t="shared" ref="P329:P331" ca="1" si="100">IF(M329&gt;0,N329*100/M329,0)</f>
        <v>86.923171585068644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828860</v>
      </c>
      <c r="N331" s="157">
        <f t="shared" ca="1" si="102"/>
        <v>720471.4</v>
      </c>
      <c r="O331" s="156">
        <f t="shared" ca="1" si="99"/>
        <v>65.019213240801733</v>
      </c>
      <c r="P331" s="156">
        <f t="shared" ca="1" si="100"/>
        <v>86.923171585068644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IFERROR(__xludf.DUMMYFUNCTION("IMPORTRANGE(""https://docs.google.com/spreadsheets/d/1Yj_ptqi66GCucihVvJfMjLAmec39IyEx_6qawtMGysU/edit?usp=sharing"",""สบก!DL38"")"),791060)</f>
        <v>791060</v>
      </c>
      <c r="N333" s="169">
        <f ca="1">IFERROR(__xludf.DUMMYFUNCTION("IMPORTRANGE(""https://docs.google.com/spreadsheets/d/1Yj_ptqi66GCucihVvJfMjLAmec39IyEx_6qawtMGysU/edit?usp=sharing"",""สบก!DM38"")"),682671.4)</f>
        <v>682671.4</v>
      </c>
      <c r="O333" s="169">
        <f ca="1">IF(L333&gt;0,N333*100/L333,0)</f>
        <v>63.78377822833064</v>
      </c>
      <c r="P333" s="169">
        <f ca="1">IF(M333&gt;0,N333*100/M333,0)</f>
        <v>86.29830859858923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IFERROR(__xludf.DUMMYFUNCTION("IMPORTRANGE(""https://docs.google.com/spreadsheets/d/1XL5vhW3sbDhbH9Cz0tuDiY8C3ctxq1tqvaCgkFb8cCA/edit?usp=sharing"",""กาฬสินธุ์!J234"")"),317)</f>
        <v>317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IFERROR(__xludf.DUMMYFUNCTION("IMPORTRANGE(""https://docs.google.com/spreadsheets/d/1XL5vhW3sbDhbH9Cz0tuDiY8C3ctxq1tqvaCgkFb8cCA/edit?usp=sharing"",""กาฬสินธุ์!J235"")"),2772.83)</f>
        <v>2772.83</v>
      </c>
      <c r="K340" s="343">
        <f t="shared" ca="1" si="103"/>
        <v>101.19817518248175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IFERROR(__xludf.DUMMYFUNCTION("IMPORTRANGE(""https://docs.google.com/spreadsheets/d/1XL5vhW3sbDhbH9Cz0tuDiY8C3ctxq1tqvaCgkFb8cCA/edit?usp=sharing"",""กาฬสินธุ์!J236"")"),326)</f>
        <v>326</v>
      </c>
      <c r="K341" s="343">
        <f t="shared" ca="1" si="103"/>
        <v>94.492753623188406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IFERROR(__xludf.DUMMYFUNCTION("IMPORTRANGE(""https://docs.google.com/spreadsheets/d/1XL5vhW3sbDhbH9Cz0tuDiY8C3ctxq1tqvaCgkFb8cCA/edit?usp=sharing"",""กาฬสินธุ์!J237"")"),3138.34)</f>
        <v>3138.34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IFERROR(__xludf.DUMMYFUNCTION("IMPORTRANGE(""https://docs.google.com/spreadsheets/d/1XL5vhW3sbDhbH9Cz0tuDiY8C3ctxq1tqvaCgkFb8cCA/edit?usp=sharing"",""กาฬสินธุ์!J240"")"),16)</f>
        <v>16</v>
      </c>
      <c r="K345" s="343">
        <f t="shared" ca="1" si="103"/>
        <v>4.63768115942029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IFERROR(__xludf.DUMMYFUNCTION("IMPORTRANGE(""https://docs.google.com/spreadsheets/d/1XL5vhW3sbDhbH9Cz0tuDiY8C3ctxq1tqvaCgkFb8cCA/edit?usp=sharing"",""กาฬสินธุ์!J241"")"),335.9)</f>
        <v>335.9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IFERROR(__xludf.DUMMYFUNCTION("IMPORTRANGE(""https://docs.google.com/spreadsheets/d/1XL5vhW3sbDhbH9Cz0tuDiY8C3ctxq1tqvaCgkFb8cCA/edit?usp=sharing"",""กาฬสินธุ์!L242"")"),2496440)</f>
        <v>2496440</v>
      </c>
      <c r="M347" s="358"/>
      <c r="N347" s="358">
        <f ca="1">IFERROR(__xludf.DUMMYFUNCTION("IMPORTRANGE(""https://docs.google.com/spreadsheets/d/1XL5vhW3sbDhbH9Cz0tuDiY8C3ctxq1tqvaCgkFb8cCA/edit?usp=sharing"",""กาฬสินธุ์!M242"")"),946914)</f>
        <v>946914</v>
      </c>
      <c r="O347" s="358">
        <f ca="1">+IF(L347&gt;0,N347*100/L347,0)</f>
        <v>37.930573136145874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IFERROR(__xludf.DUMMYFUNCTION("IMPORTRANGE(""https://docs.google.com/spreadsheets/d/1XL5vhW3sbDhbH9Cz0tuDiY8C3ctxq1tqvaCgkFb8cCA/edit?usp=sharing"",""กาฬสินธุ์!M244"")"),170338)</f>
        <v>170338</v>
      </c>
      <c r="O349" s="373">
        <f ca="1">+IF(L349&gt;0,N349*100/L349,0)</f>
        <v>29.547946155981126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IFERROR(__xludf.DUMMYFUNCTION("IMPORTRANGE(""https://docs.google.com/spreadsheets/d/1XL5vhW3sbDhbH9Cz0tuDiY8C3ctxq1tqvaCgkFb8cCA/edit?usp=sharing"",""กาฬสินธุ์!M247"")"),170338)</f>
        <v>170338</v>
      </c>
      <c r="O352" s="165">
        <f t="shared" ca="1" si="105"/>
        <v>29.547946155981126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IFERROR(__xludf.DUMMYFUNCTION("IMPORTRANGE(""https://docs.google.com/spreadsheets/d/1XL5vhW3sbDhbH9Cz0tuDiY8C3ctxq1tqvaCgkFb8cCA/edit?usp=sharing"",""กาฬสินธุ์!M249"")"),170338)</f>
        <v>170338</v>
      </c>
      <c r="O354" s="169">
        <f t="shared" ca="1" si="105"/>
        <v>29.547946155981126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IFERROR(__xludf.DUMMYFUNCTION("IMPORTRANGE(""https://docs.google.com/spreadsheets/d/1XL5vhW3sbDhbH9Cz0tuDiY8C3ctxq1tqvaCgkFb8cCA/edit?usp=sharing"",""กาฬสินธุ์!M252"")"),72348)</f>
        <v>72348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IFERROR(__xludf.DUMMYFUNCTION("IMPORTRANGE(""https://docs.google.com/spreadsheets/d/1XL5vhW3sbDhbH9Cz0tuDiY8C3ctxq1tqvaCgkFb8cCA/edit?usp=sharing"",""กาฬสินธุ์!M253"")"),24790)</f>
        <v>24790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IFERROR(__xludf.DUMMYFUNCTION("IMPORTRANGE(""https://docs.google.com/spreadsheets/d/1XL5vhW3sbDhbH9Cz0tuDiY8C3ctxq1tqvaCgkFb8cCA/edit?usp=sharing"",""กาฬสินธุ์!M275"")"),292037)</f>
        <v>292037</v>
      </c>
      <c r="O380" s="373">
        <f ca="1">+IF(L380&gt;0,N380*100/L380,0)</f>
        <v>28.393905806401431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IFERROR(__xludf.DUMMYFUNCTION("IMPORTRANGE(""https://docs.google.com/spreadsheets/d/1XL5vhW3sbDhbH9Cz0tuDiY8C3ctxq1tqvaCgkFb8cCA/edit?usp=sharing"",""กาฬสินธุ์!M278"")"),292037)</f>
        <v>292037</v>
      </c>
      <c r="O383" s="165">
        <f t="shared" ca="1" si="109"/>
        <v>28.393905806401431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IFERROR(__xludf.DUMMYFUNCTION("IMPORTRANGE(""https://docs.google.com/spreadsheets/d/1XL5vhW3sbDhbH9Cz0tuDiY8C3ctxq1tqvaCgkFb8cCA/edit?usp=sharing"",""กาฬสินธุ์!M280"")"),292037)</f>
        <v>292037</v>
      </c>
      <c r="O385" s="169">
        <f t="shared" ca="1" si="109"/>
        <v>28.393905806401431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IFERROR(__xludf.DUMMYFUNCTION("IMPORTRANGE(""https://docs.google.com/spreadsheets/d/1XL5vhW3sbDhbH9Cz0tuDiY8C3ctxq1tqvaCgkFb8cCA/edit?usp=sharing"",""กาฬสินธุ์!M281"")"),190610)</f>
        <v>190610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IFERROR(__xludf.DUMMYFUNCTION("IMPORTRANGE(""https://docs.google.com/spreadsheets/d/1XL5vhW3sbDhbH9Cz0tuDiY8C3ctxq1tqvaCgkFb8cCA/edit?usp=sharing"",""กาฬสินธุ์!M283"")"),71677)</f>
        <v>71677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IFERROR(__xludf.DUMMYFUNCTION("IMPORTRANGE(""https://docs.google.com/spreadsheets/d/1XL5vhW3sbDhbH9Cz0tuDiY8C3ctxq1tqvaCgkFb8cCA/edit?usp=sharing"",""กาฬสินธุ์!M284"")"),29750)</f>
        <v>29750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IFERROR(__xludf.DUMMYFUNCTION("IMPORTRANGE(""https://docs.google.com/spreadsheets/d/1XL5vhW3sbDhbH9Cz0tuDiY8C3ctxq1tqvaCgkFb8cCA/edit?usp=sharing"",""กาฬสินธุ์!M296"")"),85320)</f>
        <v>85320</v>
      </c>
      <c r="O401" s="373">
        <f ca="1">+IF(L401&gt;0,N401*100/L401,0)</f>
        <v>64.778680434287452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IFERROR(__xludf.DUMMYFUNCTION("IMPORTRANGE(""https://docs.google.com/spreadsheets/d/1XL5vhW3sbDhbH9Cz0tuDiY8C3ctxq1tqvaCgkFb8cCA/edit?usp=sharing"",""กาฬสินธุ์!M299"")"),85320)</f>
        <v>85320</v>
      </c>
      <c r="O404" s="169">
        <f t="shared" ca="1" si="112"/>
        <v>64.778680434287452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IFERROR(__xludf.DUMMYFUNCTION("IMPORTRANGE(""https://docs.google.com/spreadsheets/d/1XL5vhW3sbDhbH9Cz0tuDiY8C3ctxq1tqvaCgkFb8cCA/edit?usp=sharing"",""กาฬสินธุ์!M301"")"),85320)</f>
        <v>85320</v>
      </c>
      <c r="O406" s="169">
        <f t="shared" ca="1" si="112"/>
        <v>64.778680434287452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IFERROR(__xludf.DUMMYFUNCTION("IMPORTRANGE(""https://docs.google.com/spreadsheets/d/1XL5vhW3sbDhbH9Cz0tuDiY8C3ctxq1tqvaCgkFb8cCA/edit?usp=sharing"",""กาฬสินธุ์!M302"")"),48820)</f>
        <v>48820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IFERROR(__xludf.DUMMYFUNCTION("IMPORTRANGE(""https://docs.google.com/spreadsheets/d/1XL5vhW3sbDhbH9Cz0tuDiY8C3ctxq1tqvaCgkFb8cCA/edit?usp=sharing"",""กาฬสินธุ์!M305"")"),11000)</f>
        <v>11000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IFERROR(__xludf.DUMMYFUNCTION("IMPORTRANGE(""https://docs.google.com/spreadsheets/d/1XL5vhW3sbDhbH9Cz0tuDiY8C3ctxq1tqvaCgkFb8cCA/edit?usp=sharing"",""กาฬสินธุ์!M330"")"),127909)</f>
        <v>127909</v>
      </c>
      <c r="O435" s="412">
        <f t="shared" ref="O435:O439" ca="1" si="114">+IF(L435&gt;0,N435*100/L435,0)</f>
        <v>76.13630952380953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IFERROR(__xludf.DUMMYFUNCTION("IMPORTRANGE(""https://docs.google.com/spreadsheets/d/1XL5vhW3sbDhbH9Cz0tuDiY8C3ctxq1tqvaCgkFb8cCA/edit?usp=sharing"",""กาฬสินธุ์!M332"")"),127909)</f>
        <v>127909</v>
      </c>
      <c r="O437" s="169">
        <f t="shared" ca="1" si="114"/>
        <v>76.13630952380953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IFERROR(__xludf.DUMMYFUNCTION("IMPORTRANGE(""https://docs.google.com/spreadsheets/d/1XL5vhW3sbDhbH9Cz0tuDiY8C3ctxq1tqvaCgkFb8cCA/edit?usp=sharing"",""กาฬสินธุ์!M334"")"),127909)</f>
        <v>127909</v>
      </c>
      <c r="O439" s="169">
        <f t="shared" ca="1" si="114"/>
        <v>76.13630952380953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IFERROR(__xludf.DUMMYFUNCTION("IMPORTRANGE(""https://docs.google.com/spreadsheets/d/1XL5vhW3sbDhbH9Cz0tuDiY8C3ctxq1tqvaCgkFb8cCA/edit?usp=sharing"",""กาฬสินธุ์!M335"")"),68945)</f>
        <v>68945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IFERROR(__xludf.DUMMYFUNCTION("IMPORTRANGE(""https://docs.google.com/spreadsheets/d/1XL5vhW3sbDhbH9Cz0tuDiY8C3ctxq1tqvaCgkFb8cCA/edit?usp=sharing"",""กาฬสินธุ์!M338"")"),58964)</f>
        <v>58964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IFERROR(__xludf.DUMMYFUNCTION("IMPORTRANGE(""https://docs.google.com/spreadsheets/d/1XL5vhW3sbDhbH9Cz0tuDiY8C3ctxq1tqvaCgkFb8cCA/edit?usp=sharing"",""กาฬสินธุ์!M350"")"),103935)</f>
        <v>103935</v>
      </c>
      <c r="O455" s="373">
        <f t="shared" ref="O455:O459" ca="1" si="116">+IF(L455&gt;0,N455*100/L455,0)</f>
        <v>39.442525900345338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IFERROR(__xludf.DUMMYFUNCTION("IMPORTRANGE(""https://docs.google.com/spreadsheets/d/1XL5vhW3sbDhbH9Cz0tuDiY8C3ctxq1tqvaCgkFb8cCA/edit?usp=sharing"",""กาฬสินธุ์!M352"")"),103935)</f>
        <v>103935</v>
      </c>
      <c r="O457" s="169">
        <f t="shared" ca="1" si="116"/>
        <v>39.442525900345338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IFERROR(__xludf.DUMMYFUNCTION("IMPORTRANGE(""https://docs.google.com/spreadsheets/d/1XL5vhW3sbDhbH9Cz0tuDiY8C3ctxq1tqvaCgkFb8cCA/edit?usp=sharing"",""กาฬสินธุ์!M354"")"),103935)</f>
        <v>103935</v>
      </c>
      <c r="O459" s="169">
        <f t="shared" ca="1" si="116"/>
        <v>39.442525900345338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IFERROR(__xludf.DUMMYFUNCTION("IMPORTRANGE(""https://docs.google.com/spreadsheets/d/1XL5vhW3sbDhbH9Cz0tuDiY8C3ctxq1tqvaCgkFb8cCA/edit?usp=sharing"",""กาฬสินธุ์!M358"")"),103935)</f>
        <v>103935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2">
        <f t="shared" ca="1" si="117"/>
        <v>108.32930322532644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2">
        <f t="shared" ca="1" si="117"/>
        <v>100.031328320802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IFERROR(__xludf.DUMMYFUNCTION("IMPORTRANGE(""https://docs.google.com/spreadsheets/d/1XL5vhW3sbDhbH9Cz0tuDiY8C3ctxq1tqvaCgkFb8cCA/edit?usp=sharing"",""กาฬสินธุ์!J362"")"),25400)</f>
        <v>25400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IFERROR(__xludf.DUMMYFUNCTION("IMPORTRANGE(""https://docs.google.com/spreadsheets/d/1XL5vhW3sbDhbH9Cz0tuDiY8C3ctxq1tqvaCgkFb8cCA/edit?usp=sharing"",""กาฬสินธุ์!J364"")"),2410)</f>
        <v>2410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IFERROR(__xludf.DUMMYFUNCTION("IMPORTRANGE(""https://docs.google.com/spreadsheets/d/1XL5vhW3sbDhbH9Cz0tuDiY8C3ctxq1tqvaCgkFb8cCA/edit?usp=sharing"",""กาฬสินธุ์!J365"")"),234)</f>
        <v>234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IFERROR(__xludf.DUMMYFUNCTION("IMPORTRANGE(""https://docs.google.com/spreadsheets/d/1XL5vhW3sbDhbH9Cz0tuDiY8C3ctxq1tqvaCgkFb8cCA/edit?usp=sharing"",""กาฬสินธุ์!J367"")"),100)</f>
        <v>100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IFERROR(__xludf.DUMMYFUNCTION("IMPORTRANGE(""https://docs.google.com/spreadsheets/d/1XL5vhW3sbDhbH9Cz0tuDiY8C3ctxq1tqvaCgkFb8cCA/edit?usp=sharing"",""กาฬสินธุ์!J392"")"),1075)</f>
        <v>1075</v>
      </c>
      <c r="K497" s="444">
        <f t="shared" ca="1" si="117"/>
        <v>60.906515580736546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IFERROR(__xludf.DUMMYFUNCTION("IMPORTRANGE(""https://docs.google.com/spreadsheets/d/1XL5vhW3sbDhbH9Cz0tuDiY8C3ctxq1tqvaCgkFb8cCA/edit?usp=sharing"",""กาฬสินธุ์!J393"")"),1075)</f>
        <v>1075</v>
      </c>
      <c r="K498" s="202">
        <f t="shared" ca="1" si="117"/>
        <v>60.906515580736546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IFERROR(__xludf.DUMMYFUNCTION("IMPORTRANGE(""https://docs.google.com/spreadsheets/d/1XL5vhW3sbDhbH9Cz0tuDiY8C3ctxq1tqvaCgkFb8cCA/edit?usp=sharing"",""กาฬสินธุ์!J394"")"),105)</f>
        <v>105</v>
      </c>
      <c r="K499" s="202">
        <f t="shared" ca="1" si="117"/>
        <v>61.046511627906973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IFERROR(__xludf.DUMMYFUNCTION("IMPORTRANGE(""https://docs.google.com/spreadsheets/d/1XL5vhW3sbDhbH9Cz0tuDiY8C3ctxq1tqvaCgkFb8cCA/edit?usp=sharing"",""กาฬสินธุ์!J395"")"),801)</f>
        <v>801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IFERROR(__xludf.DUMMYFUNCTION("IMPORTRANGE(""https://docs.google.com/spreadsheets/d/1XL5vhW3sbDhbH9Cz0tuDiY8C3ctxq1tqvaCgkFb8cCA/edit?usp=sharing"",""กาฬสินธุ์!J396"")"),71)</f>
        <v>71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IFERROR(__xludf.DUMMYFUNCTION("IMPORTRANGE(""https://docs.google.com/spreadsheets/d/1XL5vhW3sbDhbH9Cz0tuDiY8C3ctxq1tqvaCgkFb8cCA/edit?usp=sharing"",""กาฬสินธุ์!J397"")"),791)</f>
        <v>791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IFERROR(__xludf.DUMMYFUNCTION("IMPORTRANGE(""https://docs.google.com/spreadsheets/d/1XL5vhW3sbDhbH9Cz0tuDiY8C3ctxq1tqvaCgkFb8cCA/edit?usp=sharing"",""กาฬสินธุ์!J398"")"),69)</f>
        <v>69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IFERROR(__xludf.DUMMYFUNCTION("IMPORTRANGE(""https://docs.google.com/spreadsheets/d/1XL5vhW3sbDhbH9Cz0tuDiY8C3ctxq1tqvaCgkFb8cCA/edit?usp=sharing"",""กาฬสินธุ์!J399"")"),10)</f>
        <v>10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IFERROR(__xludf.DUMMYFUNCTION("IMPORTRANGE(""https://docs.google.com/spreadsheets/d/1XL5vhW3sbDhbH9Cz0tuDiY8C3ctxq1tqvaCgkFb8cCA/edit?usp=sharing"",""กาฬสินธุ์!J409"")"),190)</f>
        <v>190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IFERROR(__xludf.DUMMYFUNCTION("IMPORTRANGE(""https://docs.google.com/spreadsheets/d/1XL5vhW3sbDhbH9Cz0tuDiY8C3ctxq1tqvaCgkFb8cCA/edit?usp=sharing"",""กาฬสินธุ์!J410"")"),23)</f>
        <v>23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IFERROR(__xludf.DUMMYFUNCTION("IMPORTRANGE(""https://docs.google.com/spreadsheets/d/1XL5vhW3sbDhbH9Cz0tuDiY8C3ctxq1tqvaCgkFb8cCA/edit?usp=sharing"",""กาฬสินธุ์!J459"")"),2499)</f>
        <v>2499</v>
      </c>
      <c r="K564" s="372">
        <f ca="1">IF(I564&gt;0,J564*100/I564,0)</f>
        <v>108.65217391304348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IFERROR(__xludf.DUMMYFUNCTION("IMPORTRANGE(""https://docs.google.com/spreadsheets/d/1XL5vhW3sbDhbH9Cz0tuDiY8C3ctxq1tqvaCgkFb8cCA/edit?usp=sharing"",""กาฬสินธุ์!M459"")"),106946)</f>
        <v>106946</v>
      </c>
      <c r="O564" s="373">
        <f t="shared" ref="O564:O568" ca="1" si="122">+IF(L564&gt;0,N564*100/L564,0)</f>
        <v>74.766498881431772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IFERROR(__xludf.DUMMYFUNCTION("IMPORTRANGE(""https://docs.google.com/spreadsheets/d/1XL5vhW3sbDhbH9Cz0tuDiY8C3ctxq1tqvaCgkFb8cCA/edit?usp=sharing"",""กาฬสินธุ์!M461"")"),106946)</f>
        <v>106946</v>
      </c>
      <c r="O566" s="169">
        <f t="shared" ca="1" si="122"/>
        <v>74.766498881431772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IFERROR(__xludf.DUMMYFUNCTION("IMPORTRANGE(""https://docs.google.com/spreadsheets/d/1XL5vhW3sbDhbH9Cz0tuDiY8C3ctxq1tqvaCgkFb8cCA/edit?usp=sharing"",""กาฬสินธุ์!M463"")"),106946)</f>
        <v>106946</v>
      </c>
      <c r="O568" s="169">
        <f t="shared" ca="1" si="122"/>
        <v>74.766498881431772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IFERROR(__xludf.DUMMYFUNCTION("IMPORTRANGE(""https://docs.google.com/spreadsheets/d/1XL5vhW3sbDhbH9Cz0tuDiY8C3ctxq1tqvaCgkFb8cCA/edit?usp=sharing"",""กาฬสินธุ์!M466"")"),72386)</f>
        <v>72386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IFERROR(__xludf.DUMMYFUNCTION("IMPORTRANGE(""https://docs.google.com/spreadsheets/d/1XL5vhW3sbDhbH9Cz0tuDiY8C3ctxq1tqvaCgkFb8cCA/edit?usp=sharing"",""กาฬสินธุ์!M467"")"),34560)</f>
        <v>34560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IFERROR(__xludf.DUMMYFUNCTION("IMPORTRANGE(""https://docs.google.com/spreadsheets/d/1XL5vhW3sbDhbH9Cz0tuDiY8C3ctxq1tqvaCgkFb8cCA/edit?usp=sharing"",""กาฬสินธุ์!J468"")"),2499)</f>
        <v>2499</v>
      </c>
      <c r="K573" s="202">
        <f ca="1">IF(I573&gt;0,J573*100/I573,0)</f>
        <v>108.65217391304348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IFERROR(__xludf.DUMMYFUNCTION("IMPORTRANGE(""https://docs.google.com/spreadsheets/d/1XL5vhW3sbDhbH9Cz0tuDiY8C3ctxq1tqvaCgkFb8cCA/edit?usp=sharing"",""กาฬสินธุ์!J472"")"),2324)</f>
        <v>2324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IFERROR(__xludf.DUMMYFUNCTION("IMPORTRANGE(""https://docs.google.com/spreadsheets/d/1XL5vhW3sbDhbH9Cz0tuDiY8C3ctxq1tqvaCgkFb8cCA/edit?usp=sharing"",""กาฬสินธุ์!L494"")"),4550)</f>
        <v>4550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IFERROR(__xludf.DUMMYFUNCTION("IMPORTRANGE(""https://docs.google.com/spreadsheets/d/1XL5vhW3sbDhbH9Cz0tuDiY8C3ctxq1tqvaCgkFb8cCA/edit?usp=sharing"",""กาฬสินธุ์!L496"")"),4550)</f>
        <v>4550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IFERROR(__xludf.DUMMYFUNCTION("IMPORTRANGE(""https://docs.google.com/spreadsheets/d/1XL5vhW3sbDhbH9Cz0tuDiY8C3ctxq1tqvaCgkFb8cCA/edit?usp=sharing"",""กาฬสินธุ์!J523"")"),2579398.29)</f>
        <v>2579398.29</v>
      </c>
      <c r="K628" s="343">
        <f t="shared" ref="K628:K635" ca="1" si="129">IF(I628&gt;0,J628*100/I628,0)</f>
        <v>95.983865902985769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IFERROR(__xludf.DUMMYFUNCTION("IMPORTRANGE(""https://docs.google.com/spreadsheets/d/1XL5vhW3sbDhbH9Cz0tuDiY8C3ctxq1tqvaCgkFb8cCA/edit?usp=sharing"",""กาฬสินธุ์!J524"")"),169)</f>
        <v>169</v>
      </c>
      <c r="K629" s="343">
        <f t="shared" ca="1" si="129"/>
        <v>93.888888888888886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IFERROR(__xludf.DUMMYFUNCTION("IMPORTRANGE(""https://docs.google.com/spreadsheets/d/1XL5vhW3sbDhbH9Cz0tuDiY8C3ctxq1tqvaCgkFb8cCA/edit?usp=sharing"",""กาฬสินธุ์!J525"")"),2494556.02)</f>
        <v>2494556.02</v>
      </c>
      <c r="K630" s="343">
        <f t="shared" ca="1" si="129"/>
        <v>18.671702028309682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IFERROR(__xludf.DUMMYFUNCTION("IMPORTRANGE(""https://docs.google.com/spreadsheets/d/1XL5vhW3sbDhbH9Cz0tuDiY8C3ctxq1tqvaCgkFb8cCA/edit?usp=sharing"",""กาฬสินธุ์!J526"")"),247)</f>
        <v>247</v>
      </c>
      <c r="K631" s="343">
        <f t="shared" ca="1" si="129"/>
        <v>39.838709677419352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IFERROR(__xludf.DUMMYFUNCTION("IMPORTRANGE(""https://docs.google.com/spreadsheets/d/1XL5vhW3sbDhbH9Cz0tuDiY8C3ctxq1tqvaCgkFb8cCA/edit?usp=sharing"",""กาฬสินธุ์!J527"")"),277798.47)</f>
        <v>277798.46999999997</v>
      </c>
      <c r="K632" s="343">
        <f t="shared" ca="1" si="129"/>
        <v>10.325224355017628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IFERROR(__xludf.DUMMYFUNCTION("IMPORTRANGE(""https://docs.google.com/spreadsheets/d/1XL5vhW3sbDhbH9Cz0tuDiY8C3ctxq1tqvaCgkFb8cCA/edit?usp=sharing"",""กาฬสินธุ์!J528"")"),109)</f>
        <v>109</v>
      </c>
      <c r="K633" s="343">
        <f t="shared" ca="1" si="129"/>
        <v>78.417266187050359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2"/>
      <c r="B635" s="553"/>
      <c r="C635" s="553"/>
      <c r="D635" s="554"/>
      <c r="E635" s="555"/>
      <c r="F635" s="555"/>
      <c r="G635" s="556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IFERROR(__xludf.DUMMYFUNCTION("IMPORTRANGE(""https://docs.google.com/spreadsheets/d/1XL5vhW3sbDhbH9Cz0tuDiY8C3ctxq1tqvaCgkFb8cCA/edit?usp=sharing"",""กาฬสินธุ์!I530"")"),196)</f>
        <v>196</v>
      </c>
      <c r="J635" s="504">
        <f ca="1">IFERROR(__xludf.DUMMYFUNCTION("IMPORTRANGE(""https://docs.google.com/spreadsheets/d/1XL5vhW3sbDhbH9Cz0tuDiY8C3ctxq1tqvaCgkFb8cCA/edit?usp=sharing"",""กาฬสินธุ์!J530"")"),147)</f>
        <v>147</v>
      </c>
      <c r="K635" s="486">
        <f t="shared" ca="1" si="129"/>
        <v>75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960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0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2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960</v>
      </c>
      <c r="M638" s="570"/>
      <c r="N638" s="571">
        <f ca="1">SUM(N639:N640)</f>
        <v>0</v>
      </c>
      <c r="O638" s="571">
        <f t="shared" ca="1" si="130"/>
        <v>0</v>
      </c>
      <c r="P638" s="52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2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960</v>
      </c>
      <c r="M640" s="570"/>
      <c r="N640" s="571">
        <f ca="1">SUM(N641:N644)</f>
        <v>0</v>
      </c>
      <c r="O640" s="571">
        <f t="shared" ca="1" si="130"/>
        <v>0</v>
      </c>
      <c r="P640" s="52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2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2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2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2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1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IFERROR(__xludf.DUMMYFUNCTION("IMPORTRANGE(""https://docs.google.com/spreadsheets/d/1XL5vhW3sbDhbH9Cz0tuDiY8C3ctxq1tqvaCgkFb8cCA/edit#gid=346597447"",""กาฬสินธุ์!J541"")"),0)</f>
        <v>0</v>
      </c>
      <c r="K646" s="568"/>
      <c r="L646" s="570"/>
      <c r="M646" s="570"/>
      <c r="N646" s="582"/>
      <c r="O646" s="568"/>
      <c r="P646" s="51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IFERROR(__xludf.DUMMYFUNCTION("IMPORTRANGE(""https://docs.google.com/spreadsheets/d/1XL5vhW3sbDhbH9Cz0tuDiY8C3ctxq1tqvaCgkFb8cCA/edit#gid=346597447"",""กาฬสินธุ์!J542"")"),0)</f>
        <v>0</v>
      </c>
      <c r="K647" s="568"/>
      <c r="L647" s="570"/>
      <c r="M647" s="570"/>
      <c r="N647" s="570"/>
      <c r="O647" s="568"/>
      <c r="P647" s="51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IFERROR(__xludf.DUMMYFUNCTION("IMPORTRANGE(""https://docs.google.com/spreadsheets/d/1XL5vhW3sbDhbH9Cz0tuDiY8C3ctxq1tqvaCgkFb8cCA/edit#gid=346597447"",""กาฬสินธุ์!I543"")"),0)</f>
        <v>0</v>
      </c>
      <c r="J648" s="585">
        <f ca="1">IFERROR(__xludf.DUMMYFUNCTION("IMPORTRANGE(""https://docs.google.com/spreadsheets/d/1XL5vhW3sbDhbH9Cz0tuDiY8C3ctxq1tqvaCgkFb8cCA/edit#gid=346597447"",""กาฬสินธุ์!J543"")"),0)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IFERROR(__xludf.DUMMYFUNCTION("IMPORTRANGE(""https://docs.google.com/spreadsheets/d/1XL5vhW3sbDhbH9Cz0tuDiY8C3ctxq1tqvaCgkFb8cCA/edit#gid=346597447"",""กาฬสินธุ์!L543"")"),0)</f>
        <v>0</v>
      </c>
      <c r="M648" s="570"/>
      <c r="N648" s="587">
        <f ca="1">IFERROR(__xludf.DUMMYFUNCTION("IMPORTRANGE(""https://docs.google.com/spreadsheets/d/1XL5vhW3sbDhbH9Cz0tuDiY8C3ctxq1tqvaCgkFb8cCA/edit#gid=346597447"",""กาฬสินธุ์!M543"")"),0)</f>
        <v>0</v>
      </c>
      <c r="O648" s="586">
        <f t="shared" ref="O648:O651" ca="1" si="132">IF(L648&gt;0,N648*100/L648,0)</f>
        <v>0</v>
      </c>
      <c r="P648" s="534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IFERROR(__xludf.DUMMYFUNCTION("IMPORTRANGE(""https://docs.google.com/spreadsheets/d/1XL5vhW3sbDhbH9Cz0tuDiY8C3ctxq1tqvaCgkFb8cCA/edit#gid=346597447"",""กาฬสินธุ์!I544"")"),5)</f>
        <v>5</v>
      </c>
      <c r="J649" s="585">
        <f ca="1">IFERROR(__xludf.DUMMYFUNCTION("IMPORTRANGE(""https://docs.google.com/spreadsheets/d/1XL5vhW3sbDhbH9Cz0tuDiY8C3ctxq1tqvaCgkFb8cCA/edit#gid=346597447"",""กาฬสินธุ์!J544"")"),0)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IFERROR(__xludf.DUMMYFUNCTION("IMPORTRANGE(""https://docs.google.com/spreadsheets/d/1XL5vhW3sbDhbH9Cz0tuDiY8C3ctxq1tqvaCgkFb8cCA/edit#gid=346597447"",""กาฬสินธุ์!L544"")"),600)</f>
        <v>600</v>
      </c>
      <c r="M649" s="570"/>
      <c r="N649" s="588">
        <v>0</v>
      </c>
      <c r="O649" s="586">
        <f t="shared" ca="1" si="132"/>
        <v>0</v>
      </c>
      <c r="P649" s="534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IFERROR(__xludf.DUMMYFUNCTION("IMPORTRANGE(""https://docs.google.com/spreadsheets/d/1XL5vhW3sbDhbH9Cz0tuDiY8C3ctxq1tqvaCgkFb8cCA/edit#gid=346597447"",""กาฬสินธุ์!I545"")"),0)</f>
        <v>0</v>
      </c>
      <c r="J650" s="585">
        <f ca="1">IFERROR(__xludf.DUMMYFUNCTION("IMPORTRANGE(""https://docs.google.com/spreadsheets/d/1XL5vhW3sbDhbH9Cz0tuDiY8C3ctxq1tqvaCgkFb8cCA/edit#gid=346597447"",""กาฬสินธุ์!J545"")"),0)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IFERROR(__xludf.DUMMYFUNCTION("IMPORTRANGE(""https://docs.google.com/spreadsheets/d/1XL5vhW3sbDhbH9Cz0tuDiY8C3ctxq1tqvaCgkFb8cCA/edit#gid=346597447"",""กาฬสินธุ์!L545"")"),0)</f>
        <v>0</v>
      </c>
      <c r="M650" s="570"/>
      <c r="N650" s="587">
        <f ca="1">IFERROR(__xludf.DUMMYFUNCTION("IMPORTRANGE(""https://docs.google.com/spreadsheets/d/1XL5vhW3sbDhbH9Cz0tuDiY8C3ctxq1tqvaCgkFb8cCA/edit#gid=346597447"",""กาฬสินธุ์!M545"")"),0)</f>
        <v>0</v>
      </c>
      <c r="O650" s="586">
        <f t="shared" ca="1" si="132"/>
        <v>0</v>
      </c>
      <c r="P650" s="534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IFERROR(__xludf.DUMMYFUNCTION("IMPORTRANGE(""https://docs.google.com/spreadsheets/d/1XL5vhW3sbDhbH9Cz0tuDiY8C3ctxq1tqvaCgkFb8cCA/edit#gid=346597447"",""กาฬสินธุ์!I546"")"),0)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IFERROR(__xludf.DUMMYFUNCTION("IMPORTRANGE(""https://docs.google.com/spreadsheets/d/1XL5vhW3sbDhbH9Cz0tuDiY8C3ctxq1tqvaCgkFb8cCA/edit#gid=346597447"",""กาฬสินธุ์!L546"")"),0)</f>
        <v>0</v>
      </c>
      <c r="M651" s="570"/>
      <c r="N651" s="587">
        <f ca="1">IFERROR(__xludf.DUMMYFUNCTION("IMPORTRANGE(""https://docs.google.com/spreadsheets/d/1XL5vhW3sbDhbH9Cz0tuDiY8C3ctxq1tqvaCgkFb8cCA/edit#gid=346597447"",""กาฬสินธุ์!M546"")"),0)</f>
        <v>0</v>
      </c>
      <c r="O651" s="586">
        <f t="shared" ca="1" si="132"/>
        <v>0</v>
      </c>
      <c r="P651" s="534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IFERROR(__xludf.DUMMYFUNCTION("IMPORTRANGE(""https://docs.google.com/spreadsheets/d/1XL5vhW3sbDhbH9Cz0tuDiY8C3ctxq1tqvaCgkFb8cCA/edit#gid=346597447"",""กาฬสินธุ์!J547"")"),0)</f>
        <v>0</v>
      </c>
      <c r="K652" s="586"/>
      <c r="L652" s="570"/>
      <c r="M652" s="570"/>
      <c r="N652" s="570"/>
      <c r="O652" s="568"/>
      <c r="P652" s="51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IFERROR(__xludf.DUMMYFUNCTION("IMPORTRANGE(""https://docs.google.com/spreadsheets/d/1XL5vhW3sbDhbH9Cz0tuDiY8C3ctxq1tqvaCgkFb8cCA/edit#gid=346597447"",""กาฬสินธุ์!J548"")"),0)</f>
        <v>0</v>
      </c>
      <c r="K653" s="586"/>
      <c r="L653" s="570"/>
      <c r="M653" s="570"/>
      <c r="N653" s="570"/>
      <c r="O653" s="568"/>
      <c r="P653" s="51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1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IFERROR(__xludf.DUMMYFUNCTION("IMPORTRANGE(""https://docs.google.com/spreadsheets/d/1XL5vhW3sbDhbH9Cz0tuDiY8C3ctxq1tqvaCgkFb8cCA/edit#gid=346597447"",""กาฬสินธุ์!J550"")"),0)</f>
        <v>0</v>
      </c>
      <c r="K655" s="586"/>
      <c r="L655" s="570"/>
      <c r="M655" s="570"/>
      <c r="N655" s="570"/>
      <c r="O655" s="568"/>
      <c r="P655" s="51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IFERROR(__xludf.DUMMYFUNCTION("IMPORTRANGE(""https://docs.google.com/spreadsheets/d/1XL5vhW3sbDhbH9Cz0tuDiY8C3ctxq1tqvaCgkFb8cCA/edit#gid=346597447"",""กาฬสินธุ์!J551"")"),0)</f>
        <v>0</v>
      </c>
      <c r="K656" s="586"/>
      <c r="L656" s="570"/>
      <c r="M656" s="570"/>
      <c r="N656" s="570"/>
      <c r="O656" s="568"/>
      <c r="P656" s="51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IFERROR(__xludf.DUMMYFUNCTION("IMPORTRANGE(""https://docs.google.com/spreadsheets/d/1XL5vhW3sbDhbH9Cz0tuDiY8C3ctxq1tqvaCgkFb8cCA/edit#gid=346597447"",""กาฬสินธุ์!J552"")"),0)</f>
        <v>0</v>
      </c>
      <c r="K657" s="586"/>
      <c r="L657" s="570"/>
      <c r="M657" s="570"/>
      <c r="N657" s="570"/>
      <c r="O657" s="568"/>
      <c r="P657" s="51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IFERROR(__xludf.DUMMYFUNCTION("IMPORTRANGE(""https://docs.google.com/spreadsheets/d/1XL5vhW3sbDhbH9Cz0tuDiY8C3ctxq1tqvaCgkFb8cCA/edit#gid=346597447"",""กาฬสินธุ์!J553"")"),0)</f>
        <v>0</v>
      </c>
      <c r="K658" s="586"/>
      <c r="L658" s="570"/>
      <c r="M658" s="570"/>
      <c r="N658" s="570"/>
      <c r="O658" s="568"/>
      <c r="P658" s="51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IFERROR(__xludf.DUMMYFUNCTION("IMPORTRANGE(""https://docs.google.com/spreadsheets/d/1XL5vhW3sbDhbH9Cz0tuDiY8C3ctxq1tqvaCgkFb8cCA/edit#gid=346597447"",""กาฬสินธุ์!J554"")"),0)</f>
        <v>0</v>
      </c>
      <c r="K659" s="586"/>
      <c r="L659" s="570"/>
      <c r="M659" s="570"/>
      <c r="N659" s="570"/>
      <c r="O659" s="568"/>
      <c r="P659" s="51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IFERROR(__xludf.DUMMYFUNCTION("IMPORTRANGE(""https://docs.google.com/spreadsheets/d/1XL5vhW3sbDhbH9Cz0tuDiY8C3ctxq1tqvaCgkFb8cCA/edit#gid=346597447"",""กาฬสินธุ์!J555"")"),0)</f>
        <v>0</v>
      </c>
      <c r="K660" s="586"/>
      <c r="L660" s="570"/>
      <c r="M660" s="570"/>
      <c r="N660" s="570"/>
      <c r="O660" s="568"/>
      <c r="P660" s="51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IFERROR(__xludf.DUMMYFUNCTION("IMPORTRANGE(""https://docs.google.com/spreadsheets/d/1XL5vhW3sbDhbH9Cz0tuDiY8C3ctxq1tqvaCgkFb8cCA/edit#gid=346597447"",""กาฬสินธุ์!J556"")"),0)</f>
        <v>0</v>
      </c>
      <c r="K661" s="586"/>
      <c r="L661" s="571">
        <f ca="1">IFERROR(__xludf.DUMMYFUNCTION("IMPORTRANGE(""https://docs.google.com/spreadsheets/d/1XL5vhW3sbDhbH9Cz0tuDiY8C3ctxq1tqvaCgkFb8cCA/edit#gid=346597447"",""กาฬสินธุ์!L556"")"),0)</f>
        <v>0</v>
      </c>
      <c r="M661" s="570"/>
      <c r="N661" s="587">
        <f ca="1">IFERROR(__xludf.DUMMYFUNCTION("IMPORTRANGE(""https://docs.google.com/spreadsheets/d/1XL5vhW3sbDhbH9Cz0tuDiY8C3ctxq1tqvaCgkFb8cCA/edit#gid=346597447"",""กาฬสินธุ์!M556"")"),0)</f>
        <v>0</v>
      </c>
      <c r="O661" s="586">
        <f ca="1">IF(L661&gt;0,N661*100/L661,0)</f>
        <v>0</v>
      </c>
      <c r="P661" s="534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IFERROR(__xludf.DUMMYFUNCTION("IMPORTRANGE(""https://docs.google.com/spreadsheets/d/1XL5vhW3sbDhbH9Cz0tuDiY8C3ctxq1tqvaCgkFb8cCA/edit#gid=346597447"",""กาฬสินธุ์!J557"")"),0)</f>
        <v>0</v>
      </c>
      <c r="K662" s="586"/>
      <c r="L662" s="570"/>
      <c r="M662" s="570"/>
      <c r="N662" s="570"/>
      <c r="O662" s="568"/>
      <c r="P662" s="51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IFERROR(__xludf.DUMMYFUNCTION("IMPORTRANGE(""https://docs.google.com/spreadsheets/d/1XL5vhW3sbDhbH9Cz0tuDiY8C3ctxq1tqvaCgkFb8cCA/edit#gid=346597447"",""กาฬสินธุ์!I558"")"),0)</f>
        <v>0</v>
      </c>
      <c r="J663" s="585">
        <f ca="1">IFERROR(__xludf.DUMMYFUNCTION("IMPORTRANGE(""https://docs.google.com/spreadsheets/d/1XL5vhW3sbDhbH9Cz0tuDiY8C3ctxq1tqvaCgkFb8cCA/edit#gid=346597447"",""กาฬสินธุ์!J558"")"),0)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1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1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IFERROR(__xludf.DUMMYFUNCTION("IMPORTRANGE(""https://docs.google.com/spreadsheets/d/1XL5vhW3sbDhbH9Cz0tuDiY8C3ctxq1tqvaCgkFb8cCA/edit#gid=346597447"",""กาฬสินธุ์!I560"")"),3)</f>
        <v>3</v>
      </c>
      <c r="J665" s="585">
        <f ca="1">IFERROR(__xludf.DUMMYFUNCTION("IMPORTRANGE(""https://docs.google.com/spreadsheets/d/1XL5vhW3sbDhbH9Cz0tuDiY8C3ctxq1tqvaCgkFb8cCA/edit#gid=346597447"",""กาฬสินธุ์!J560"")"),0)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IFERROR(__xludf.DUMMYFUNCTION("IMPORTRANGE(""https://docs.google.com/spreadsheets/d/1XL5vhW3sbDhbH9Cz0tuDiY8C3ctxq1tqvaCgkFb8cCA/edit#gid=346597447"",""กาฬสินธุ์!L560"")"),360)</f>
        <v>360</v>
      </c>
      <c r="M665" s="570"/>
      <c r="N665" s="587">
        <f ca="1">IFERROR(__xludf.DUMMYFUNCTION("IMPORTRANGE(""https://docs.google.com/spreadsheets/d/1XL5vhW3sbDhbH9Cz0tuDiY8C3ctxq1tqvaCgkFb8cCA/edit#gid=346597447"",""กาฬสินธุ์!M560"")"),0)</f>
        <v>0</v>
      </c>
      <c r="O665" s="586">
        <f ca="1">IF(L665&gt;0,N665*100/L665,0)</f>
        <v>0</v>
      </c>
      <c r="P665" s="534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IFERROR(__xludf.DUMMYFUNCTION("IMPORTRANGE(""https://docs.google.com/spreadsheets/d/1XL5vhW3sbDhbH9Cz0tuDiY8C3ctxq1tqvaCgkFb8cCA/edit#gid=346597447"",""กาฬสินธุ์!J561"")"),0)</f>
        <v>0</v>
      </c>
      <c r="K666" s="586"/>
      <c r="L666" s="570"/>
      <c r="M666" s="570"/>
      <c r="N666" s="570"/>
      <c r="O666" s="568"/>
      <c r="P666" s="51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IFERROR(__xludf.DUMMYFUNCTION("IMPORTRANGE(""https://docs.google.com/spreadsheets/d/1XL5vhW3sbDhbH9Cz0tuDiY8C3ctxq1tqvaCgkFb8cCA/edit#gid=346597447"",""กาฬสินธุ์!J562"")"),0)</f>
        <v>0</v>
      </c>
      <c r="K667" s="586"/>
      <c r="L667" s="570"/>
      <c r="M667" s="570"/>
      <c r="N667" s="570"/>
      <c r="O667" s="568"/>
      <c r="P667" s="51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IFERROR(__xludf.DUMMYFUNCTION("IMPORTRANGE(""https://docs.google.com/spreadsheets/d/1XL5vhW3sbDhbH9Cz0tuDiY8C3ctxq1tqvaCgkFb8cCA/edit#gid=346597447"",""กาฬสินธุ์!I563"")"),0)</f>
        <v>0</v>
      </c>
      <c r="J668" s="585">
        <f ca="1">IFERROR(__xludf.DUMMYFUNCTION("IMPORTRANGE(""https://docs.google.com/spreadsheets/d/1XL5vhW3sbDhbH9Cz0tuDiY8C3ctxq1tqvaCgkFb8cCA/edit#gid=346597447"",""กาฬสินธุ์!J563"")"),0)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IFERROR(__xludf.DUMMYFUNCTION("IMPORTRANGE(""https://docs.google.com/spreadsheets/d/1XL5vhW3sbDhbH9Cz0tuDiY8C3ctxq1tqvaCgkFb8cCA/edit#gid=346597447"",""กาฬสินธุ์!L563"")"),0)</f>
        <v>0</v>
      </c>
      <c r="M668" s="570"/>
      <c r="N668" s="587">
        <f ca="1">IFERROR(__xludf.DUMMYFUNCTION("IMPORTRANGE(""https://docs.google.com/spreadsheets/d/1XL5vhW3sbDhbH9Cz0tuDiY8C3ctxq1tqvaCgkFb8cCA/edit#gid=346597447"",""กาฬสินธุ์!M563"")"),0)</f>
        <v>0</v>
      </c>
      <c r="O668" s="586">
        <f ca="1">IF(L668&gt;0,N668*100/L668,0)</f>
        <v>0</v>
      </c>
      <c r="P668" s="534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IFERROR(__xludf.DUMMYFUNCTION("IMPORTRANGE(""https://docs.google.com/spreadsheets/d/1XL5vhW3sbDhbH9Cz0tuDiY8C3ctxq1tqvaCgkFb8cCA/edit#gid=346597447"",""กาฬสินธุ์!J564"")"),0)</f>
        <v>0</v>
      </c>
      <c r="K669" s="586"/>
      <c r="L669" s="570"/>
      <c r="M669" s="570"/>
      <c r="N669" s="570"/>
      <c r="O669" s="568"/>
      <c r="P669" s="51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IFERROR(__xludf.DUMMYFUNCTION("IMPORTRANGE(""https://docs.google.com/spreadsheets/d/1XL5vhW3sbDhbH9Cz0tuDiY8C3ctxq1tqvaCgkFb8cCA/edit#gid=346597447"",""กาฬสินธุ์!J565"")"),0)</f>
        <v>0</v>
      </c>
      <c r="K670" s="586"/>
      <c r="L670" s="570"/>
      <c r="M670" s="570"/>
      <c r="N670" s="570"/>
      <c r="O670" s="568"/>
      <c r="P670" s="51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IFERROR(__xludf.DUMMYFUNCTION("IMPORTRANGE(""https://docs.google.com/spreadsheets/d/1XL5vhW3sbDhbH9Cz0tuDiY8C3ctxq1tqvaCgkFb8cCA/edit#gid=346597447"",""กาฬสินธุ์!I566"")"),0)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IFERROR(__xludf.DUMMYFUNCTION("IMPORTRANGE(""https://docs.google.com/spreadsheets/d/1XL5vhW3sbDhbH9Cz0tuDiY8C3ctxq1tqvaCgkFb8cCA/edit#gid=346597447"",""กาฬสินธุ์!L566"")"),0)</f>
        <v>0</v>
      </c>
      <c r="M671" s="570"/>
      <c r="N671" s="587">
        <f ca="1">IFERROR(__xludf.DUMMYFUNCTION("IMPORTRANGE(""https://docs.google.com/spreadsheets/d/1XL5vhW3sbDhbH9Cz0tuDiY8C3ctxq1tqvaCgkFb8cCA/edit#gid=346597447"",""กาฬสินธุ์!M566"")"),0)</f>
        <v>0</v>
      </c>
      <c r="O671" s="586">
        <f ca="1">IF(L671&gt;0,N671*100/L671,0)</f>
        <v>0</v>
      </c>
      <c r="P671" s="534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IFERROR(__xludf.DUMMYFUNCTION("IMPORTRANGE(""https://docs.google.com/spreadsheets/d/1XL5vhW3sbDhbH9Cz0tuDiY8C3ctxq1tqvaCgkFb8cCA/edit#gid=346597447"",""กาฬสินธุ์!J567"")"),0)</f>
        <v>0</v>
      </c>
      <c r="K672" s="586"/>
      <c r="L672" s="570"/>
      <c r="M672" s="570"/>
      <c r="N672" s="570"/>
      <c r="O672" s="568"/>
      <c r="P672" s="51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IFERROR(__xludf.DUMMYFUNCTION("IMPORTRANGE(""https://docs.google.com/spreadsheets/d/1XL5vhW3sbDhbH9Cz0tuDiY8C3ctxq1tqvaCgkFb8cCA/edit#gid=346597447"",""กาฬสินธุ์!J568"")"),0)</f>
        <v>0</v>
      </c>
      <c r="K673" s="586"/>
      <c r="L673" s="570"/>
      <c r="M673" s="570"/>
      <c r="N673" s="570"/>
      <c r="O673" s="568"/>
      <c r="P673" s="51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IFERROR(__xludf.DUMMYFUNCTION("IMPORTRANGE(""https://docs.google.com/spreadsheets/d/1XL5vhW3sbDhbH9Cz0tuDiY8C3ctxq1tqvaCgkFb8cCA/edit#gid=346597447"",""กาฬสินธุ์!J569"")"),0)</f>
        <v>0</v>
      </c>
      <c r="K674" s="586"/>
      <c r="L674" s="570"/>
      <c r="M674" s="570"/>
      <c r="N674" s="570"/>
      <c r="O674" s="568"/>
      <c r="P674" s="51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IFERROR(__xludf.DUMMYFUNCTION("IMPORTRANGE(""https://docs.google.com/spreadsheets/d/1XL5vhW3sbDhbH9Cz0tuDiY8C3ctxq1tqvaCgkFb8cCA/edit#gid=346597447"",""กาฬสินธุ์!J570"")"),0)</f>
        <v>0</v>
      </c>
      <c r="K675" s="586"/>
      <c r="L675" s="570"/>
      <c r="M675" s="570"/>
      <c r="N675" s="570"/>
      <c r="O675" s="568"/>
      <c r="P675" s="51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IFERROR(__xludf.DUMMYFUNCTION("IMPORTRANGE(""https://docs.google.com/spreadsheets/d/1XL5vhW3sbDhbH9Cz0tuDiY8C3ctxq1tqvaCgkFb8cCA/edit#gid=346597447"",""กาฬสินธุ์!J571"")"),0)</f>
        <v>0</v>
      </c>
      <c r="K676" s="586"/>
      <c r="L676" s="570"/>
      <c r="M676" s="570"/>
      <c r="N676" s="570"/>
      <c r="O676" s="568"/>
      <c r="P676" s="51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IFERROR(__xludf.DUMMYFUNCTION("IMPORTRANGE(""https://docs.google.com/spreadsheets/d/1XL5vhW3sbDhbH9Cz0tuDiY8C3ctxq1tqvaCgkFb8cCA/edit#gid=346597447"",""กาฬสินธุ์!J572"")"),0)</f>
        <v>0</v>
      </c>
      <c r="K677" s="598"/>
      <c r="L677" s="599"/>
      <c r="M677" s="599"/>
      <c r="N677" s="599"/>
      <c r="O677" s="598"/>
      <c r="P677" s="545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3.4257812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8502261</v>
      </c>
      <c r="M8" s="23">
        <f t="shared" ca="1" si="0"/>
        <v>4244785.74</v>
      </c>
      <c r="N8" s="23">
        <f t="shared" ca="1" si="0"/>
        <v>5556154.8399999999</v>
      </c>
      <c r="O8" s="22">
        <f t="shared" ref="O8:O16" ca="1" si="1">IF(L8&gt;0,N8*100/L8,0)</f>
        <v>65.349144656933021</v>
      </c>
      <c r="P8" s="22">
        <f t="shared" ref="P8:P16" ca="1" si="2">IF(M8&gt;0,N8*100/M8,0)</f>
        <v>130.89364647177692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8502261</v>
      </c>
      <c r="M10" s="30">
        <f t="shared" ca="1" si="4"/>
        <v>4244785.74</v>
      </c>
      <c r="N10" s="30">
        <f t="shared" ca="1" si="4"/>
        <v>5556154.8399999999</v>
      </c>
      <c r="O10" s="29">
        <f t="shared" ca="1" si="1"/>
        <v>65.349144656933021</v>
      </c>
      <c r="P10" s="29">
        <f t="shared" ca="1" si="2"/>
        <v>130.89364647177692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8363261</v>
      </c>
      <c r="M12" s="38">
        <f t="shared" ca="1" si="6"/>
        <v>4105785.74</v>
      </c>
      <c r="N12" s="38">
        <f t="shared" ca="1" si="6"/>
        <v>5417154.8399999999</v>
      </c>
      <c r="O12" s="38">
        <f t="shared" ca="1" si="1"/>
        <v>64.773236659719217</v>
      </c>
      <c r="P12" s="38">
        <f t="shared" ca="1" si="2"/>
        <v>131.939540517767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6109161</v>
      </c>
      <c r="M14" s="38">
        <f t="shared" si="8"/>
        <v>0</v>
      </c>
      <c r="N14" s="38">
        <f t="shared" ca="1" si="8"/>
        <v>1571488.25</v>
      </c>
      <c r="O14" s="38">
        <f t="shared" ca="1" si="1"/>
        <v>25.723470866130391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5037970</v>
      </c>
      <c r="M18" s="23">
        <f t="shared" ca="1" si="11"/>
        <v>4244785.74</v>
      </c>
      <c r="N18" s="23">
        <f t="shared" ca="1" si="11"/>
        <v>3984666.59</v>
      </c>
      <c r="O18" s="22">
        <f t="shared" ref="O18:O20" ca="1" si="12">IF(L18&gt;0,N18*100/L18,0)</f>
        <v>79.092701822360993</v>
      </c>
      <c r="P18" s="22">
        <f t="shared" ref="P18:P26" ca="1" si="13">IF(M18&gt;0,N18*100/M18,0)</f>
        <v>93.872031100443706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5037970</v>
      </c>
      <c r="M20" s="30">
        <f t="shared" ca="1" si="15"/>
        <v>4244785.74</v>
      </c>
      <c r="N20" s="30">
        <f t="shared" ca="1" si="15"/>
        <v>3984666.59</v>
      </c>
      <c r="O20" s="29">
        <f t="shared" ca="1" si="12"/>
        <v>79.092701822360993</v>
      </c>
      <c r="P20" s="29">
        <f t="shared" ca="1" si="13"/>
        <v>93.872031100443706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4898970</v>
      </c>
      <c r="M22" s="41">
        <f t="shared" ca="1" si="18"/>
        <v>4105785.74</v>
      </c>
      <c r="N22" s="38">
        <f t="shared" ca="1" si="18"/>
        <v>3845666.59</v>
      </c>
      <c r="O22" s="38">
        <f t="shared" ca="1" si="17"/>
        <v>78.499492546392403</v>
      </c>
      <c r="P22" s="38">
        <f t="shared" ca="1" si="13"/>
        <v>93.664570767397123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2644870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3464291</v>
      </c>
      <c r="M28" s="23">
        <f t="shared" si="23"/>
        <v>0</v>
      </c>
      <c r="N28" s="23">
        <f t="shared" ca="1" si="23"/>
        <v>1571488.25</v>
      </c>
      <c r="O28" s="22">
        <f t="shared" ref="O28:O30" ca="1" si="24">IF(L28&gt;0,N28*100/L28,0)</f>
        <v>45.36247820982706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3464291</v>
      </c>
      <c r="M30" s="30">
        <f t="shared" si="27"/>
        <v>0</v>
      </c>
      <c r="N30" s="30">
        <f t="shared" ca="1" si="27"/>
        <v>1571488.25</v>
      </c>
      <c r="O30" s="29">
        <f t="shared" ca="1" si="24"/>
        <v>45.36247820982706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3464291</v>
      </c>
      <c r="M32" s="38">
        <f t="shared" si="30"/>
        <v>0</v>
      </c>
      <c r="N32" s="38">
        <f t="shared" ca="1" si="30"/>
        <v>1571488.25</v>
      </c>
      <c r="O32" s="38">
        <f t="shared" ca="1" si="29"/>
        <v>45.36247820982706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3464291</v>
      </c>
      <c r="M34" s="38">
        <f t="shared" si="32"/>
        <v>0</v>
      </c>
      <c r="N34" s="38">
        <f t="shared" ca="1" si="32"/>
        <v>1571488.25</v>
      </c>
      <c r="O34" s="38">
        <f t="shared" ca="1" si="29"/>
        <v>45.36247820982706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5037970</v>
      </c>
      <c r="M37" s="54">
        <f t="shared" ca="1" si="33"/>
        <v>4244785.74</v>
      </c>
      <c r="N37" s="54">
        <f t="shared" ca="1" si="33"/>
        <v>3984666.59</v>
      </c>
      <c r="O37" s="55">
        <f t="shared" ca="1" si="29"/>
        <v>79.092701822360993</v>
      </c>
      <c r="P37" s="55">
        <f t="shared" ca="1" si="25"/>
        <v>93.872031100443706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636800</v>
      </c>
      <c r="N41" s="78">
        <f t="shared" ca="1" si="34"/>
        <v>590511.81999999995</v>
      </c>
      <c r="O41" s="77">
        <f t="shared" ref="O41:O43" ca="1" si="35">IF(L41&gt;0,N41*100/L41,0)</f>
        <v>69.545615357437285</v>
      </c>
      <c r="P41" s="77">
        <f t="shared" ref="P41:P43" ca="1" si="36">IF(M41&gt;0,N41*100/M41,0)</f>
        <v>92.731127512562807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636800</v>
      </c>
      <c r="N43" s="78">
        <f t="shared" ca="1" si="38"/>
        <v>590511.81999999995</v>
      </c>
      <c r="O43" s="77">
        <f t="shared" ca="1" si="35"/>
        <v>69.545615357437285</v>
      </c>
      <c r="P43" s="77">
        <f t="shared" ca="1" si="36"/>
        <v>92.731127512562807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622">
        <f ca="1">IFERROR(__xludf.DUMMYFUNCTION("IMPORTRANGE(""https://docs.google.com/spreadsheets/d/1Yj_ptqi66GCucihVvJfMjLAmec39IyEx_6qawtMGysU/edit?usp=sharing"",""สบก!Q56"")"),636800)</f>
        <v>636800</v>
      </c>
      <c r="N45" s="622">
        <f ca="1">IFERROR(__xludf.DUMMYFUNCTION("IMPORTRANGE(""https://docs.google.com/spreadsheets/d/1Yj_ptqi66GCucihVvJfMjLAmec39IyEx_6qawtMGysU/edit?usp=sharing"",""สบก!R56"")"),590511.82)</f>
        <v>590511.81999999995</v>
      </c>
      <c r="O45" s="623">
        <f ca="1">IF(L45&gt;0,N45*100/L45,0)</f>
        <v>69.545615357437285</v>
      </c>
      <c r="P45" s="623">
        <f ca="1">IF(M45&gt;0,N45*100/M45,0)</f>
        <v>92.731127512562807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IFERROR(__xludf.DUMMYFUNCTION("IMPORTRANGE(""https://docs.google.com/spreadsheets/d/1Yj_ptqi66GCucihVvJfMjLAmec39IyEx_6qawtMGysU/edit?usp=sharing"",""สบก!M56"")"),849100)</f>
        <v>849100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IFERROR(__xludf.DUMMYFUNCTION("IMPORTRANGE(""https://docs.google.com/spreadsheets/d/1Yj_ptqi66GCucihVvJfMjLAmec39IyEx_6qawtMGysU/edit?usp=sharing"",""สบก!N56"")"),0)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IFERROR(__xludf.DUMMYFUNCTION("IMPORTRANGE(""https://docs.google.com/spreadsheets/d/1Yj_ptqi66GCucihVvJfMjLAmec39IyEx_6qawtMGysU/edit?usp=sharing"",""สบก!O56"")"),0)</f>
        <v>0</v>
      </c>
      <c r="M49" s="625"/>
      <c r="N49" s="622">
        <f ca="1">IFERROR(__xludf.DUMMYFUNCTION("IMPORTRANGE(""https://docs.google.com/spreadsheets/d/1Yj_ptqi66GCucihVvJfMjLAmec39IyEx_6qawtMGysU/edit?usp=sharing"",""สบก!S56"")"),0)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500770.74</v>
      </c>
      <c r="N53" s="121">
        <f t="shared" ca="1" si="39"/>
        <v>492980</v>
      </c>
      <c r="O53" s="120">
        <f t="shared" ref="O53:O55" ca="1" si="40">IF(L53&gt;0,N53*100/L53,0)</f>
        <v>78.250793650793653</v>
      </c>
      <c r="P53" s="120">
        <f t="shared" ref="P53:P55" ca="1" si="41">IF(M53&gt;0,N53*100/M53,0)</f>
        <v>98.444250157267575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500770.74</v>
      </c>
      <c r="N55" s="121">
        <f t="shared" ca="1" si="43"/>
        <v>492980</v>
      </c>
      <c r="O55" s="120">
        <f t="shared" ca="1" si="40"/>
        <v>78.250793650793653</v>
      </c>
      <c r="P55" s="120">
        <f t="shared" ca="1" si="41"/>
        <v>98.444250157267575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622">
        <f ca="1">IFERROR(__xludf.DUMMYFUNCTION("IMPORTRANGE(""https://docs.google.com/spreadsheets/d/1Yj_ptqi66GCucihVvJfMjLAmec39IyEx_6qawtMGysU/edit?usp=sharing"",""สบก!Z56"")"),500770.74)</f>
        <v>500770.74</v>
      </c>
      <c r="N57" s="622">
        <f ca="1">IFERROR(__xludf.DUMMYFUNCTION("IMPORTRANGE(""https://docs.google.com/spreadsheets/d/1Yj_ptqi66GCucihVvJfMjLAmec39IyEx_6qawtMGysU/edit?usp=sharing"",""สบก!AA56"")"),492980)</f>
        <v>492980</v>
      </c>
      <c r="O57" s="623">
        <f ca="1">IF(L57&gt;0,N57*100/L57,0)</f>
        <v>78.250793650793653</v>
      </c>
      <c r="P57" s="623">
        <f ca="1">IF(M57&gt;0,N57*100/M57,0)</f>
        <v>98.444250157267575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IFERROR(__xludf.DUMMYFUNCTION("IMPORTRANGE(""https://docs.google.com/spreadsheets/d/1Yj_ptqi66GCucihVvJfMjLAmec39IyEx_6qawtMGysU/edit?usp=sharing"",""สบก!V56"")"),630000)</f>
        <v>630000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IFERROR(__xludf.DUMMYFUNCTION("IMPORTRANGE(""https://docs.google.com/spreadsheets/d/1Yj_ptqi66GCucihVvJfMjLAmec39IyEx_6qawtMGysU/edit?usp=sharing"",""สบก!W56"")"),0)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IFERROR(__xludf.DUMMYFUNCTION("IMPORTRANGE(""https://docs.google.com/spreadsheets/d/1Yj_ptqi66GCucihVvJfMjLAmec39IyEx_6qawtMGysU/edit?usp=sharing"",""สบก!X56"")"),0)</f>
        <v>0</v>
      </c>
      <c r="M61" s="625"/>
      <c r="N61" s="622">
        <f ca="1">IFERROR(__xludf.DUMMYFUNCTION("IMPORTRANGE(""https://docs.google.com/spreadsheets/d/1Yj_ptqi66GCucihVvJfMjLAmec39IyEx_6qawtMGysU/edit?usp=sharing"",""สบก!AB56"")"),0)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869320</v>
      </c>
      <c r="N66" s="152">
        <f t="shared" ca="1" si="45"/>
        <v>764365.66</v>
      </c>
      <c r="O66" s="151">
        <f t="shared" ref="O66:O68" ca="1" si="46">IF(L66&gt;0,N66*100/L66,0)</f>
        <v>72.178060434372043</v>
      </c>
      <c r="P66" s="151">
        <f t="shared" ref="P66:P68" ca="1" si="47">IF(M66&gt;0,N66*100/M66,0)</f>
        <v>87.926846270648326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869320</v>
      </c>
      <c r="N68" s="157">
        <f t="shared" ca="1" si="49"/>
        <v>764365.66</v>
      </c>
      <c r="O68" s="156">
        <f t="shared" ca="1" si="46"/>
        <v>72.178060434372043</v>
      </c>
      <c r="P68" s="156">
        <f t="shared" ca="1" si="47"/>
        <v>87.926846270648326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1059000</v>
      </c>
      <c r="M70" s="626">
        <f ca="1">IFERROR(__xludf.DUMMYFUNCTION("IMPORTRANGE(""https://docs.google.com/spreadsheets/d/1Yj_ptqi66GCucihVvJfMjLAmec39IyEx_6qawtMGysU/edit?usp=sharing"",""สบก!AI56"")"),869320)</f>
        <v>869320</v>
      </c>
      <c r="N70" s="627">
        <f ca="1">IFERROR(__xludf.DUMMYFUNCTION("IMPORTRANGE(""https://docs.google.com/spreadsheets/d/1Yj_ptqi66GCucihVvJfMjLAmec39IyEx_6qawtMGysU/edit?usp=sharing"",""สบก!AJ56"")"),764365.66)</f>
        <v>764365.66</v>
      </c>
      <c r="O70" s="169">
        <f ca="1">IF(L70&gt;0,N70*100/L70,0)</f>
        <v>72.178060434372043</v>
      </c>
      <c r="P70" s="169">
        <f ca="1">IF(M70&gt;0,N70*100/M70,0)</f>
        <v>87.926846270648326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IFERROR(__xludf.DUMMYFUNCTION("IMPORTRANGE(""https://docs.google.com/spreadsheets/d/1Yj_ptqi66GCucihVvJfMjLAmec39IyEx_6qawtMGysU/edit?usp=sharing"",""สบก!AF56"")"),590000)</f>
        <v>590000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IFERROR(__xludf.DUMMYFUNCTION("IMPORTRANGE(""https://docs.google.com/spreadsheets/d/1Yj_ptqi66GCucihVvJfMjLAmec39IyEx_6qawtMGysU/edit?usp=sharing"",""สบก!AG56"")"),0)</f>
        <v>0</v>
      </c>
      <c r="M74" s="625"/>
      <c r="N74" s="622">
        <f ca="1">IFERROR(__xludf.DUMMYFUNCTION("IMPORTRANGE(""https://docs.google.com/spreadsheets/d/1Yj_ptqi66GCucihVvJfMjLAmec39IyEx_6qawtMGysU/edit?usp=sharing"",""สบก!AK56"")"),0)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IFERROR(__xludf.DUMMYFUNCTION("IMPORTRANGE(""https://docs.google.com/spreadsheets/d/1Yj_ptqi66GCucihVvJfMjLAmec39IyEx_6qawtMGysU/edit?usp=sharing"",""สบก!AR56"")"),0)</f>
        <v>0</v>
      </c>
      <c r="N98" s="627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IFERROR(__xludf.DUMMYFUNCTION("IMPORTRANGE(""https://docs.google.com/spreadsheets/d/1Yj_ptqi66GCucihVvJfMjLAmec39IyEx_6qawtMGysU/edit?usp=sharing"",""สบก!AP56"")"),0)</f>
        <v>0</v>
      </c>
      <c r="M102" s="625"/>
      <c r="N102" s="622">
        <f ca="1">IFERROR(__xludf.DUMMYFUNCTION("IMPORTRANGE(""https://docs.google.com/spreadsheets/d/1Yj_ptqi66GCucihVvJfMjLAmec39IyEx_6qawtMGysU/edit?usp=sharing"",""สบก!AT56"")"),0)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162140</v>
      </c>
      <c r="N118" s="152">
        <f t="shared" ca="1" si="58"/>
        <v>110783</v>
      </c>
      <c r="O118" s="151">
        <f t="shared" ref="O118:O120" ca="1" si="59">IF(L118&gt;0,N118*100/L118,0)</f>
        <v>134.38015526443473</v>
      </c>
      <c r="P118" s="151">
        <f t="shared" ref="P118:P120" ca="1" si="60">IF(M118&gt;0,N118*100/M118,0)</f>
        <v>68.325521154557791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162140</v>
      </c>
      <c r="N120" s="157">
        <f t="shared" ca="1" si="62"/>
        <v>110783</v>
      </c>
      <c r="O120" s="156">
        <f t="shared" ca="1" si="59"/>
        <v>134.38015526443473</v>
      </c>
      <c r="P120" s="156">
        <f t="shared" ca="1" si="60"/>
        <v>68.325521154557791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IFERROR(__xludf.DUMMYFUNCTION("IMPORTRANGE(""https://docs.google.com/spreadsheets/d/1Yj_ptqi66GCucihVvJfMjLAmec39IyEx_6qawtMGysU/edit?usp=sharing"",""สบก!BA56"")"),162140)</f>
        <v>162140</v>
      </c>
      <c r="N122" s="627">
        <f ca="1">IFERROR(__xludf.DUMMYFUNCTION("IMPORTRANGE(""https://docs.google.com/spreadsheets/d/1Yj_ptqi66GCucihVvJfMjLAmec39IyEx_6qawtMGysU/edit?usp=sharing"",""สบก!BB56"")"),110783)</f>
        <v>110783</v>
      </c>
      <c r="O122" s="169">
        <f ca="1">IF(L122&gt;0,N122*100/L122,0)</f>
        <v>134.38015526443473</v>
      </c>
      <c r="P122" s="169">
        <f ca="1">IF(M122&gt;0,N122*100/M122,0)</f>
        <v>68.325521154557791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IFERROR(__xludf.DUMMYFUNCTION("IMPORTRANGE(""https://docs.google.com/spreadsheets/d/1Yj_ptqi66GCucihVvJfMjLAmec39IyEx_6qawtMGysU/edit?usp=sharing"",""สบก!AX56"")"),82440)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IFERROR(__xludf.DUMMYFUNCTION("IMPORTRANGE(""https://docs.google.com/spreadsheets/d/1Yj_ptqi66GCucihVvJfMjLAmec39IyEx_6qawtMGysU/edit?usp=sharing"",""สบก!AY56"")"),0)</f>
        <v>0</v>
      </c>
      <c r="M126" s="625"/>
      <c r="N126" s="622">
        <f ca="1">IFERROR(__xludf.DUMMYFUNCTION("IMPORTRANGE(""https://docs.google.com/spreadsheets/d/1Yj_ptqi66GCucihVvJfMjLAmec39IyEx_6qawtMGysU/edit?usp=sharing"",""สบก!BC56"")"),0)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102000</v>
      </c>
      <c r="M140" s="152">
        <f t="shared" ca="1" si="64"/>
        <v>100625</v>
      </c>
      <c r="N140" s="152">
        <f t="shared" ca="1" si="64"/>
        <v>100440</v>
      </c>
      <c r="O140" s="151">
        <f t="shared" ref="O140:O142" ca="1" si="65">IF(L140&gt;0,N140*100/L140,0)</f>
        <v>98.470588235294116</v>
      </c>
      <c r="P140" s="151">
        <f t="shared" ref="P140:P142" ca="1" si="66">IF(M140&gt;0,N140*100/M140,0)</f>
        <v>99.816149068322986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102000</v>
      </c>
      <c r="M142" s="157">
        <f t="shared" ca="1" si="68"/>
        <v>100625</v>
      </c>
      <c r="N142" s="157">
        <f t="shared" ca="1" si="68"/>
        <v>100440</v>
      </c>
      <c r="O142" s="156">
        <f t="shared" ca="1" si="65"/>
        <v>98.470588235294116</v>
      </c>
      <c r="P142" s="156">
        <f t="shared" ca="1" si="66"/>
        <v>99.816149068322986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102000</v>
      </c>
      <c r="M144" s="626">
        <f ca="1">IFERROR(__xludf.DUMMYFUNCTION("IMPORTRANGE(""https://docs.google.com/spreadsheets/d/1Yj_ptqi66GCucihVvJfMjLAmec39IyEx_6qawtMGysU/edit?usp=sharing"",""สบก!BJ56"")"),100625)</f>
        <v>100625</v>
      </c>
      <c r="N144" s="627">
        <f ca="1">IFERROR(__xludf.DUMMYFUNCTION("IMPORTRANGE(""https://docs.google.com/spreadsheets/d/1Yj_ptqi66GCucihVvJfMjLAmec39IyEx_6qawtMGysU/edit?usp=sharing"",""สบก!BK56"")"),100440)</f>
        <v>100440</v>
      </c>
      <c r="O144" s="169">
        <f ca="1">IF(L144&gt;0,N144*100/L144,0)</f>
        <v>98.470588235294116</v>
      </c>
      <c r="P144" s="169">
        <f ca="1">IF(M144&gt;0,N144*100/M144,0)</f>
        <v>99.816149068322986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IFERROR(__xludf.DUMMYFUNCTION("IMPORTRANGE(""https://docs.google.com/spreadsheets/d/1Yj_ptqi66GCucihVvJfMjLAmec39IyEx_6qawtMGysU/edit?usp=sharing"",""สบก!BG56"")"),102000)</f>
        <v>102000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IFERROR(__xludf.DUMMYFUNCTION("IMPORTRANGE(""https://docs.google.com/spreadsheets/d/1Yj_ptqi66GCucihVvJfMjLAmec39IyEx_6qawtMGysU/edit?usp=sharing"",""สบก!BH56"")"),0)</f>
        <v>0</v>
      </c>
      <c r="M148" s="625"/>
      <c r="N148" s="622">
        <f ca="1">IFERROR(__xludf.DUMMYFUNCTION("IMPORTRANGE(""https://docs.google.com/spreadsheets/d/1Yj_ptqi66GCucihVvJfMjLAmec39IyEx_6qawtMGysU/edit?usp=sharing"",""สบก!BL56"")"),0)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IFERROR(__xludf.DUMMYFUNCTION("IMPORTRANGE(""https://docs.google.com/spreadsheets/d/1Yj_ptqi66GCucihVvJfMjLAmec39IyEx_6qawtMGysU/edit?usp=sharing"",""สบก!BS56"")"),20210)</f>
        <v>20210</v>
      </c>
      <c r="N224" s="627">
        <f ca="1">IFERROR(__xludf.DUMMYFUNCTION("IMPORTRANGE(""https://docs.google.com/spreadsheets/d/1Yj_ptqi66GCucihVvJfMjLAmec39IyEx_6qawtMGysU/edit?usp=sharing"",""สบก!BT56"")"),20210)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IFERROR(__xludf.DUMMYFUNCTION("IMPORTRANGE(""https://docs.google.com/spreadsheets/d/1Yj_ptqi66GCucihVvJfMjLAmec39IyEx_6qawtMGysU/edit?usp=sharing"",""สบก!BQ56"")"),0)</f>
        <v>0</v>
      </c>
      <c r="M228" s="625"/>
      <c r="N228" s="622">
        <f ca="1">IFERROR(__xludf.DUMMYFUNCTION("IMPORTRANGE(""https://docs.google.com/spreadsheets/d/1Yj_ptqi66GCucihVvJfMjLAmec39IyEx_6qawtMGysU/edit?usp=sharing"",""สบก!BU56"")"),0)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42000</v>
      </c>
      <c r="N250" s="152">
        <f t="shared" ca="1" si="77"/>
        <v>41990</v>
      </c>
      <c r="O250" s="151">
        <f t="shared" ref="O250:O252" ca="1" si="78">IF(L250&gt;0,N250*100/L250,0)</f>
        <v>58.80952380952381</v>
      </c>
      <c r="P250" s="151">
        <f t="shared" ref="P250:P252" ca="1" si="79">IF(M250&gt;0,N250*100/M250,0)</f>
        <v>99.976190476190482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42000</v>
      </c>
      <c r="N252" s="157">
        <f t="shared" ca="1" si="81"/>
        <v>41990</v>
      </c>
      <c r="O252" s="156">
        <f t="shared" ca="1" si="78"/>
        <v>58.80952380952381</v>
      </c>
      <c r="P252" s="156">
        <f t="shared" ca="1" si="79"/>
        <v>99.976190476190482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6">
        <f ca="1">IFERROR(__xludf.DUMMYFUNCTION("IMPORTRANGE(""https://docs.google.com/spreadsheets/d/1Yj_ptqi66GCucihVvJfMjLAmec39IyEx_6qawtMGysU/edit?usp=sharing"",""สบก!CB56"")"),42000)</f>
        <v>42000</v>
      </c>
      <c r="N254" s="627">
        <f ca="1">IFERROR(__xludf.DUMMYFUNCTION("IMPORTRANGE(""https://docs.google.com/spreadsheets/d/1Yj_ptqi66GCucihVvJfMjLAmec39IyEx_6qawtMGysU/edit?usp=sharing"",""สบก!CC56"")"),41990)</f>
        <v>41990</v>
      </c>
      <c r="O254" s="169">
        <f ca="1">IF(L254&gt;0,N254*100/L254,0)</f>
        <v>58.80952380952381</v>
      </c>
      <c r="P254" s="169">
        <f ca="1">IF(M254&gt;0,N254*100/M254,0)</f>
        <v>99.976190476190482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IFERROR(__xludf.DUMMYFUNCTION("IMPORTRANGE(""https://docs.google.com/spreadsheets/d/1Yj_ptqi66GCucihVvJfMjLAmec39IyEx_6qawtMGysU/edit?usp=sharing"",""สบก!BZ56"")"),0)</f>
        <v>0</v>
      </c>
      <c r="M258" s="625"/>
      <c r="N258" s="622">
        <f ca="1">IFERROR(__xludf.DUMMYFUNCTION("IMPORTRANGE(""https://docs.google.com/spreadsheets/d/1Yj_ptqi66GCucihVvJfMjLAmec39IyEx_6qawtMGysU/edit?usp=sharing"",""สบก!CD56"")"),0)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150265</v>
      </c>
      <c r="O271" s="151">
        <f t="shared" ref="O271:O273" ca="1" si="84">IF(L271&gt;0,N271*100/L271,0)</f>
        <v>81.843681917211327</v>
      </c>
      <c r="P271" s="151">
        <f t="shared" ref="P271:P273" ca="1" si="85">IF(M271&gt;0,N271*100/M271,0)</f>
        <v>92.98576732673267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150265</v>
      </c>
      <c r="O273" s="156">
        <f t="shared" ca="1" si="84"/>
        <v>81.843681917211327</v>
      </c>
      <c r="P273" s="156">
        <f t="shared" ca="1" si="85"/>
        <v>92.98576732673267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6">
        <f ca="1">IFERROR(__xludf.DUMMYFUNCTION("IMPORTRANGE(""https://docs.google.com/spreadsheets/d/1Yj_ptqi66GCucihVvJfMjLAmec39IyEx_6qawtMGysU/edit?usp=sharing"",""สบก!CK56"")"),161600)</f>
        <v>161600</v>
      </c>
      <c r="N275" s="627">
        <f ca="1">IFERROR(__xludf.DUMMYFUNCTION("IMPORTRANGE(""https://docs.google.com/spreadsheets/d/1Yj_ptqi66GCucihVvJfMjLAmec39IyEx_6qawtMGysU/edit?usp=sharing"",""สบก!CL56"")"),150265)</f>
        <v>150265</v>
      </c>
      <c r="O275" s="169">
        <f ca="1">IF(L275&gt;0,N275*100/L275,0)</f>
        <v>81.843681917211327</v>
      </c>
      <c r="P275" s="169">
        <f ca="1">IF(M275&gt;0,N275*100/M275,0)</f>
        <v>92.98576732673267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IFERROR(__xludf.DUMMYFUNCTION("IMPORTRANGE(""https://docs.google.com/spreadsheets/d/1Yj_ptqi66GCucihVvJfMjLAmec39IyEx_6qawtMGysU/edit?usp=sharing"",""สบก!CH56"")"),183600)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IFERROR(__xludf.DUMMYFUNCTION("IMPORTRANGE(""https://docs.google.com/spreadsheets/d/1Yj_ptqi66GCucihVvJfMjLAmec39IyEx_6qawtMGysU/edit?usp=sharing"",""สบก!CI56"")"),0)</f>
        <v>0</v>
      </c>
      <c r="M279" s="625"/>
      <c r="N279" s="622">
        <f ca="1">IFERROR(__xludf.DUMMYFUNCTION("IMPORTRANGE(""https://docs.google.com/spreadsheets/d/1Yj_ptqi66GCucihVvJfMjLAmec39IyEx_6qawtMGysU/edit?usp=sharing"",""สบก!CM56"")"),0)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IFERROR(__xludf.DUMMYFUNCTION("IMPORTRANGE(""https://docs.google.com/spreadsheets/d/1Yj_ptqi66GCucihVvJfMjLAmec39IyEx_6qawtMGysU/edit?usp=sharing"",""สบก!CT56"")"),0)</f>
        <v>0</v>
      </c>
      <c r="N294" s="627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IFERROR(__xludf.DUMMYFUNCTION("IMPORTRANGE(""https://docs.google.com/spreadsheets/d/1Yj_ptqi66GCucihVvJfMjLAmec39IyEx_6qawtMGysU/edit?usp=sharing"",""สบก!CR56"")"),0)</f>
        <v>0</v>
      </c>
      <c r="M298" s="625"/>
      <c r="N298" s="622">
        <f ca="1">IFERROR(__xludf.DUMMYFUNCTION("IMPORTRANGE(""https://docs.google.com/spreadsheets/d/1Yj_ptqi66GCucihVvJfMjLAmec39IyEx_6qawtMGysU/edit?usp=sharing"",""สบก!CV56"")"),0)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IFERROR(__xludf.DUMMYFUNCTION("IMPORTRANGE(""https://docs.google.com/spreadsheets/d/1Yj_ptqi66GCucihVvJfMjLAmec39IyEx_6qawtMGysU/edit?usp=sharing"",""สบก!DC56"")"),0)</f>
        <v>0</v>
      </c>
      <c r="N314" s="627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IFERROR(__xludf.DUMMYFUNCTION("IMPORTRANGE(""https://docs.google.com/spreadsheets/d/1Yj_ptqi66GCucihVvJfMjLAmec39IyEx_6qawtMGysU/edit?usp=sharing"",""สบก!DA56"")"),0)</f>
        <v>0</v>
      </c>
      <c r="M318" s="625"/>
      <c r="N318" s="622">
        <f ca="1">IFERROR(__xludf.DUMMYFUNCTION("IMPORTRANGE(""https://docs.google.com/spreadsheets/d/1Yj_ptqi66GCucihVvJfMjLAmec39IyEx_6qawtMGysU/edit?usp=sharing"",""สบก!DE56"")"),0)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IFERROR(__xludf.DUMMYFUNCTION("IMPORTRANGE(""https://docs.google.com/spreadsheets/d/1XL5vhW3sbDhbH9Cz0tuDiY8C3ctxq1tqvaCgkFb8cCA/edit?usp=sharing"",""อุดรธานี!J228"")"),682)</f>
        <v>682</v>
      </c>
      <c r="K328" s="318">
        <f ca="1">IF(I328&gt;0,J328*100/I328,0)</f>
        <v>38.75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2040220</v>
      </c>
      <c r="M329" s="152">
        <f t="shared" ca="1" si="98"/>
        <v>1751320</v>
      </c>
      <c r="N329" s="152">
        <f t="shared" ca="1" si="98"/>
        <v>1713121.11</v>
      </c>
      <c r="O329" s="151">
        <f t="shared" ref="O329:O331" ca="1" si="99">IF(L329&gt;0,N329*100/L329,0)</f>
        <v>83.967469684641856</v>
      </c>
      <c r="P329" s="151">
        <f t="shared" ref="P329:P331" ca="1" si="100">IF(M329&gt;0,N329*100/M329,0)</f>
        <v>97.818851494872433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2040220</v>
      </c>
      <c r="M331" s="157">
        <f t="shared" ca="1" si="102"/>
        <v>1751320</v>
      </c>
      <c r="N331" s="157">
        <f t="shared" ca="1" si="102"/>
        <v>1713121.11</v>
      </c>
      <c r="O331" s="156">
        <f t="shared" ca="1" si="99"/>
        <v>83.967469684641856</v>
      </c>
      <c r="P331" s="156">
        <f t="shared" ca="1" si="100"/>
        <v>97.818851494872433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1901220</v>
      </c>
      <c r="M333" s="626">
        <f ca="1">IFERROR(__xludf.DUMMYFUNCTION("IMPORTRANGE(""https://docs.google.com/spreadsheets/d/1Yj_ptqi66GCucihVvJfMjLAmec39IyEx_6qawtMGysU/edit?usp=sharing"",""สบก!DL56"")"),1612320)</f>
        <v>1612320</v>
      </c>
      <c r="N333" s="627">
        <f ca="1">IFERROR(__xludf.DUMMYFUNCTION("IMPORTRANGE(""https://docs.google.com/spreadsheets/d/1Yj_ptqi66GCucihVvJfMjLAmec39IyEx_6qawtMGysU/edit?usp=sharing"",""สบก!DM56"")"),1574121.11)</f>
        <v>1574121.11</v>
      </c>
      <c r="O333" s="169">
        <f ca="1">IF(L333&gt;0,N333*100/L333,0)</f>
        <v>82.795316165409574</v>
      </c>
      <c r="P333" s="169">
        <f ca="1">IF(M333&gt;0,N333*100/M333,0)</f>
        <v>97.630812121663197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IFERROR(__xludf.DUMMYFUNCTION("IMPORTRANGE(""https://docs.google.com/spreadsheets/d/1Yj_ptqi66GCucihVvJfMjLAmec39IyEx_6qawtMGysU/edit?usp=sharing"",""สบก!DI56"")"),1595220)</f>
        <v>1595220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IFERROR(__xludf.DUMMYFUNCTION("IMPORTRANGE(""https://docs.google.com/spreadsheets/d/1Yj_ptqi66GCucihVvJfMjLAmec39IyEx_6qawtMGysU/edit?usp=sharing"",""สบก!DJ56"")"),139000)</f>
        <v>139000</v>
      </c>
      <c r="M337" s="625">
        <f ca="1">L337</f>
        <v>139000</v>
      </c>
      <c r="N337" s="622">
        <f ca="1">IFERROR(__xludf.DUMMYFUNCTION("IMPORTRANGE(""https://docs.google.com/spreadsheets/d/1Yj_ptqi66GCucihVvJfMjLAmec39IyEx_6qawtMGysU/edit?usp=sharing"",""สบก!DN56"")"),139000)</f>
        <v>139000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IFERROR(__xludf.DUMMYFUNCTION("IMPORTRANGE(""https://docs.google.com/spreadsheets/d/1XL5vhW3sbDhbH9Cz0tuDiY8C3ctxq1tqvaCgkFb8cCA/edit?usp=sharing"",""อุดรธานี!J234"")"),983)</f>
        <v>983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IFERROR(__xludf.DUMMYFUNCTION("IMPORTRANGE(""https://docs.google.com/spreadsheets/d/1XL5vhW3sbDhbH9Cz0tuDiY8C3ctxq1tqvaCgkFb8cCA/edit?usp=sharing"",""อุดรธานี!J235"")"),10538.6)</f>
        <v>10538.6</v>
      </c>
      <c r="K340" s="343">
        <f t="shared" ca="1" si="103"/>
        <v>84.308800000000005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IFERROR(__xludf.DUMMYFUNCTION("IMPORTRANGE(""https://docs.google.com/spreadsheets/d/1XL5vhW3sbDhbH9Cz0tuDiY8C3ctxq1tqvaCgkFb8cCA/edit?usp=sharing"",""อุดรธานี!J236"")"),1593)</f>
        <v>1593</v>
      </c>
      <c r="K341" s="343">
        <f t="shared" ca="1" si="103"/>
        <v>90.51136363636364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IFERROR(__xludf.DUMMYFUNCTION("IMPORTRANGE(""https://docs.google.com/spreadsheets/d/1XL5vhW3sbDhbH9Cz0tuDiY8C3ctxq1tqvaCgkFb8cCA/edit?usp=sharing"",""อุดรธานี!J237"")"),28042.9099999999)</f>
        <v>28042.909999999902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IFERROR(__xludf.DUMMYFUNCTION("IMPORTRANGE(""https://docs.google.com/spreadsheets/d/1XL5vhW3sbDhbH9Cz0tuDiY8C3ctxq1tqvaCgkFb8cCA/edit?usp=sharing"",""อุดรธานี!J238"")"),530)</f>
        <v>530</v>
      </c>
      <c r="K343" s="343">
        <f t="shared" ca="1" si="103"/>
        <v>30.113636363636363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IFERROR(__xludf.DUMMYFUNCTION("IMPORTRANGE(""https://docs.google.com/spreadsheets/d/1XL5vhW3sbDhbH9Cz0tuDiY8C3ctxq1tqvaCgkFb8cCA/edit?usp=sharing"",""อุดรธานี!J239"")"),6320.83999999999)</f>
        <v>6320.8399999999901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IFERROR(__xludf.DUMMYFUNCTION("IMPORTRANGE(""https://docs.google.com/spreadsheets/d/1XL5vhW3sbDhbH9Cz0tuDiY8C3ctxq1tqvaCgkFb8cCA/edit?usp=sharing"",""อุดรธานี!J240"")"),682)</f>
        <v>682</v>
      </c>
      <c r="K345" s="343">
        <f t="shared" ca="1" si="103"/>
        <v>38.75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IFERROR(__xludf.DUMMYFUNCTION("IMPORTRANGE(""https://docs.google.com/spreadsheets/d/1XL5vhW3sbDhbH9Cz0tuDiY8C3ctxq1tqvaCgkFb8cCA/edit?usp=sharing"",""อุดรธานี!J241"")"),8970.75)</f>
        <v>8970.75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IFERROR(__xludf.DUMMYFUNCTION("IMPORTRANGE(""https://docs.google.com/spreadsheets/d/1XL5vhW3sbDhbH9Cz0tuDiY8C3ctxq1tqvaCgkFb8cCA/edit?usp=sharing"",""อุดรธานี!L242"")"),3464291)</f>
        <v>3464291</v>
      </c>
      <c r="M347" s="358"/>
      <c r="N347" s="358">
        <f ca="1">IFERROR(__xludf.DUMMYFUNCTION("IMPORTRANGE(""https://docs.google.com/spreadsheets/d/1XL5vhW3sbDhbH9Cz0tuDiY8C3ctxq1tqvaCgkFb8cCA/edit?usp=sharing"",""อุดรธานี!M242"")"),1571488.25)</f>
        <v>1571488.25</v>
      </c>
      <c r="O347" s="358">
        <f ca="1">+IF(L347&gt;0,N347*100/L347,0)</f>
        <v>45.36247820982706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IFERROR(__xludf.DUMMYFUNCTION("IMPORTRANGE(""https://docs.google.com/spreadsheets/d/1XL5vhW3sbDhbH9Cz0tuDiY8C3ctxq1tqvaCgkFb8cCA/edit?usp=sharing"",""อุดรธานี!M244"")"),301868.7)</f>
        <v>301868.7</v>
      </c>
      <c r="O349" s="373">
        <f ca="1">+IF(L349&gt;0,N349*100/L349,0)</f>
        <v>29.971078236695789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IFERROR(__xludf.DUMMYFUNCTION("IMPORTRANGE(""https://docs.google.com/spreadsheets/d/1XL5vhW3sbDhbH9Cz0tuDiY8C3ctxq1tqvaCgkFb8cCA/edit?usp=sharing"",""อุดรธานี!M247"")"),301868.7)</f>
        <v>301868.7</v>
      </c>
      <c r="O352" s="165">
        <f t="shared" ca="1" si="105"/>
        <v>29.971078236695789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IFERROR(__xludf.DUMMYFUNCTION("IMPORTRANGE(""https://docs.google.com/spreadsheets/d/1XL5vhW3sbDhbH9Cz0tuDiY8C3ctxq1tqvaCgkFb8cCA/edit?usp=sharing"",""อุดรธานี!M249"")"),301868.7)</f>
        <v>301868.7</v>
      </c>
      <c r="O354" s="169">
        <f t="shared" ca="1" si="105"/>
        <v>29.971078236695789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IFERROR(__xludf.DUMMYFUNCTION("IMPORTRANGE(""https://docs.google.com/spreadsheets/d/1XL5vhW3sbDhbH9Cz0tuDiY8C3ctxq1tqvaCgkFb8cCA/edit?usp=sharing"",""อุดรธานี!M250"")"),177670)</f>
        <v>177670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IFERROR(__xludf.DUMMYFUNCTION("IMPORTRANGE(""https://docs.google.com/spreadsheets/d/1XL5vhW3sbDhbH9Cz0tuDiY8C3ctxq1tqvaCgkFb8cCA/edit?usp=sharing"",""อุดรธานี!M252"")"),94838.7)</f>
        <v>94838.7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IFERROR(__xludf.DUMMYFUNCTION("IMPORTRANGE(""https://docs.google.com/spreadsheets/d/1XL5vhW3sbDhbH9Cz0tuDiY8C3ctxq1tqvaCgkFb8cCA/edit?usp=sharing"",""อุดรธานี!M253"")"),29360)</f>
        <v>29360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IFERROR(__xludf.DUMMYFUNCTION("IMPORTRANGE(""https://docs.google.com/spreadsheets/d/1XL5vhW3sbDhbH9Cz0tuDiY8C3ctxq1tqvaCgkFb8cCA/edit?usp=sharing"",""อุดรธานี!M275"")"),192431.9)</f>
        <v>192431.9</v>
      </c>
      <c r="O380" s="373">
        <f ca="1">+IF(L380&gt;0,N380*100/L380,0)</f>
        <v>18.709592424065647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IFERROR(__xludf.DUMMYFUNCTION("IMPORTRANGE(""https://docs.google.com/spreadsheets/d/1XL5vhW3sbDhbH9Cz0tuDiY8C3ctxq1tqvaCgkFb8cCA/edit?usp=sharing"",""อุดรธานี!M278"")"),192431.9)</f>
        <v>192431.9</v>
      </c>
      <c r="O383" s="165">
        <f t="shared" ca="1" si="109"/>
        <v>18.709592424065647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IFERROR(__xludf.DUMMYFUNCTION("IMPORTRANGE(""https://docs.google.com/spreadsheets/d/1XL5vhW3sbDhbH9Cz0tuDiY8C3ctxq1tqvaCgkFb8cCA/edit?usp=sharing"",""อุดรธานี!M280"")"),192431.9)</f>
        <v>192431.9</v>
      </c>
      <c r="O385" s="169">
        <f t="shared" ca="1" si="109"/>
        <v>18.709592424065647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IFERROR(__xludf.DUMMYFUNCTION("IMPORTRANGE(""https://docs.google.com/spreadsheets/d/1XL5vhW3sbDhbH9Cz0tuDiY8C3ctxq1tqvaCgkFb8cCA/edit?usp=sharing"",""อุดรธานี!M281"")"),83731)</f>
        <v>83731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IFERROR(__xludf.DUMMYFUNCTION("IMPORTRANGE(""https://docs.google.com/spreadsheets/d/1XL5vhW3sbDhbH9Cz0tuDiY8C3ctxq1tqvaCgkFb8cCA/edit?usp=sharing"",""อุดรธานี!M283"")"),85756.9)</f>
        <v>85756.9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IFERROR(__xludf.DUMMYFUNCTION("IMPORTRANGE(""https://docs.google.com/spreadsheets/d/1XL5vhW3sbDhbH9Cz0tuDiY8C3ctxq1tqvaCgkFb8cCA/edit?usp=sharing"",""อุดรธานี!M284"")"),22944)</f>
        <v>22944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IFERROR(__xludf.DUMMYFUNCTION("IMPORTRANGE(""https://docs.google.com/spreadsheets/d/1XL5vhW3sbDhbH9Cz0tuDiY8C3ctxq1tqvaCgkFb8cCA/edit?usp=sharing"",""อุดรธานี!M296"")"),163396)</f>
        <v>163396</v>
      </c>
      <c r="O401" s="373">
        <f ca="1">+IF(L401&gt;0,N401*100/L401,0)</f>
        <v>83.407861153649819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IFERROR(__xludf.DUMMYFUNCTION("IMPORTRANGE(""https://docs.google.com/spreadsheets/d/1XL5vhW3sbDhbH9Cz0tuDiY8C3ctxq1tqvaCgkFb8cCA/edit?usp=sharing"",""อุดรธานี!M299"")"),163396)</f>
        <v>163396</v>
      </c>
      <c r="O404" s="169">
        <f t="shared" ca="1" si="112"/>
        <v>83.407861153649819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IFERROR(__xludf.DUMMYFUNCTION("IMPORTRANGE(""https://docs.google.com/spreadsheets/d/1XL5vhW3sbDhbH9Cz0tuDiY8C3ctxq1tqvaCgkFb8cCA/edit?usp=sharing"",""อุดรธานี!M301"")"),163396)</f>
        <v>163396</v>
      </c>
      <c r="O406" s="169">
        <f t="shared" ca="1" si="112"/>
        <v>83.407861153649819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IFERROR(__xludf.DUMMYFUNCTION("IMPORTRANGE(""https://docs.google.com/spreadsheets/d/1XL5vhW3sbDhbH9Cz0tuDiY8C3ctxq1tqvaCgkFb8cCA/edit?usp=sharing"",""อุดรธานี!M302"")"),104376)</f>
        <v>104376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IFERROR(__xludf.DUMMYFUNCTION("IMPORTRANGE(""https://docs.google.com/spreadsheets/d/1XL5vhW3sbDhbH9Cz0tuDiY8C3ctxq1tqvaCgkFb8cCA/edit?usp=sharing"",""อุดรธานี!M305"")"),17420)</f>
        <v>17420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IFERROR(__xludf.DUMMYFUNCTION("IMPORTRANGE(""https://docs.google.com/spreadsheets/d/1XL5vhW3sbDhbH9Cz0tuDiY8C3ctxq1tqvaCgkFb8cCA/edit?usp=sharing"",""อุดรธานี!M330"")"),88249)</f>
        <v>88249</v>
      </c>
      <c r="O435" s="412">
        <f t="shared" ref="O435:O439" ca="1" si="114">+IF(L435&gt;0,N435*100/L435,0)</f>
        <v>88.248999999999995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IFERROR(__xludf.DUMMYFUNCTION("IMPORTRANGE(""https://docs.google.com/spreadsheets/d/1XL5vhW3sbDhbH9Cz0tuDiY8C3ctxq1tqvaCgkFb8cCA/edit?usp=sharing"",""อุดรธานี!M332"")"),88249)</f>
        <v>88249</v>
      </c>
      <c r="O437" s="169">
        <f t="shared" ca="1" si="114"/>
        <v>88.248999999999995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IFERROR(__xludf.DUMMYFUNCTION("IMPORTRANGE(""https://docs.google.com/spreadsheets/d/1XL5vhW3sbDhbH9Cz0tuDiY8C3ctxq1tqvaCgkFb8cCA/edit?usp=sharing"",""อุดรธานี!M334"")"),88249)</f>
        <v>88249</v>
      </c>
      <c r="O439" s="169">
        <f t="shared" ca="1" si="114"/>
        <v>88.248999999999995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IFERROR(__xludf.DUMMYFUNCTION("IMPORTRANGE(""https://docs.google.com/spreadsheets/d/1XL5vhW3sbDhbH9Cz0tuDiY8C3ctxq1tqvaCgkFb8cCA/edit?usp=sharing"",""อุดรธานี!M338"")"),46959)</f>
        <v>46959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IFERROR(__xludf.DUMMYFUNCTION("IMPORTRANGE(""https://docs.google.com/spreadsheets/d/1XL5vhW3sbDhbH9Cz0tuDiY8C3ctxq1tqvaCgkFb8cCA/edit?usp=sharing"",""อุดรธานี!J350"")"),29791)</f>
        <v>29791</v>
      </c>
      <c r="K455" s="372">
        <f ca="1">IF(I455&gt;0,J455*100/I455,0)</f>
        <v>94.764131437478127</v>
      </c>
      <c r="L455" s="373">
        <f ca="1">IFERROR(__xludf.DUMMYFUNCTION("IMPORTRANGE(""https://docs.google.com/spreadsheets/d/1XL5vhW3sbDhbH9Cz0tuDiY8C3ctxq1tqvaCgkFb8cCA/edit?usp=sharing"",""อุดรธานี!L350"")"),424851)</f>
        <v>424851</v>
      </c>
      <c r="M455" s="373"/>
      <c r="N455" s="373">
        <f ca="1">IFERROR(__xludf.DUMMYFUNCTION("IMPORTRANGE(""https://docs.google.com/spreadsheets/d/1XL5vhW3sbDhbH9Cz0tuDiY8C3ctxq1tqvaCgkFb8cCA/edit?usp=sharing"",""อุดรธานี!M350"")"),179592)</f>
        <v>179592</v>
      </c>
      <c r="O455" s="373">
        <f t="shared" ref="O455:O459" ca="1" si="116">+IF(L455&gt;0,N455*100/L455,0)</f>
        <v>42.271761158617963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IFERROR(__xludf.DUMMYFUNCTION("IMPORTRANGE(""https://docs.google.com/spreadsheets/d/1XL5vhW3sbDhbH9Cz0tuDiY8C3ctxq1tqvaCgkFb8cCA/edit?usp=sharing"",""อุดรธานี!L352"")"),424851)</f>
        <v>424851</v>
      </c>
      <c r="M457" s="165"/>
      <c r="N457" s="169">
        <f ca="1">IFERROR(__xludf.DUMMYFUNCTION("IMPORTRANGE(""https://docs.google.com/spreadsheets/d/1XL5vhW3sbDhbH9Cz0tuDiY8C3ctxq1tqvaCgkFb8cCA/edit?usp=sharing"",""อุดรธานี!M352"")"),179592)</f>
        <v>179592</v>
      </c>
      <c r="O457" s="169">
        <f t="shared" ca="1" si="116"/>
        <v>42.271761158617963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IFERROR(__xludf.DUMMYFUNCTION("IMPORTRANGE(""https://docs.google.com/spreadsheets/d/1XL5vhW3sbDhbH9Cz0tuDiY8C3ctxq1tqvaCgkFb8cCA/edit?usp=sharing"",""อุดรธานี!L354"")"),424851)</f>
        <v>424851</v>
      </c>
      <c r="M459" s="169"/>
      <c r="N459" s="169">
        <f ca="1">IFERROR(__xludf.DUMMYFUNCTION("IMPORTRANGE(""https://docs.google.com/spreadsheets/d/1XL5vhW3sbDhbH9Cz0tuDiY8C3ctxq1tqvaCgkFb8cCA/edit?usp=sharing"",""อุดรธานี!M354"")"),179592)</f>
        <v>179592</v>
      </c>
      <c r="O459" s="169">
        <f t="shared" ca="1" si="116"/>
        <v>42.271761158617963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IFERROR(__xludf.DUMMYFUNCTION("IMPORTRANGE(""https://docs.google.com/spreadsheets/d/1XL5vhW3sbDhbH9Cz0tuDiY8C3ctxq1tqvaCgkFb8cCA/edit?usp=sharing"",""อุดรธานี!M358"")"),179592)</f>
        <v>179592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IFERROR(__xludf.DUMMYFUNCTION("IMPORTRANGE(""https://docs.google.com/spreadsheets/d/1XL5vhW3sbDhbH9Cz0tuDiY8C3ctxq1tqvaCgkFb8cCA/edit?usp=sharing"",""อุดรธานี!J359"")"),29791)</f>
        <v>29791</v>
      </c>
      <c r="K464" s="269">
        <f t="shared" ref="K464:K515" ca="1" si="117">IF(I464&gt;0,J464*100/I464,0)</f>
        <v>94.764131437478127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IFERROR(__xludf.DUMMYFUNCTION("IMPORTRANGE(""https://docs.google.com/spreadsheets/d/1XL5vhW3sbDhbH9Cz0tuDiY8C3ctxq1tqvaCgkFb8cCA/edit?usp=sharing"",""อุดรธานี!J376"")"),29791)</f>
        <v>29791</v>
      </c>
      <c r="K481" s="202">
        <f t="shared" ca="1" si="117"/>
        <v>94.764131437478127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IFERROR(__xludf.DUMMYFUNCTION("IMPORTRANGE(""https://docs.google.com/spreadsheets/d/1XL5vhW3sbDhbH9Cz0tuDiY8C3ctxq1tqvaCgkFb8cCA/edit?usp=sharing"",""อุดรธานี!J377"")"),2336)</f>
        <v>2336</v>
      </c>
      <c r="K482" s="163">
        <f t="shared" ca="1" si="117"/>
        <v>95.816242821985227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IFERROR(__xludf.DUMMYFUNCTION("IMPORTRANGE(""https://docs.google.com/spreadsheets/d/1XL5vhW3sbDhbH9Cz0tuDiY8C3ctxq1tqvaCgkFb8cCA/edit?usp=sharing"",""อุดรธานี!J378"")"),28368)</f>
        <v>28368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IFERROR(__xludf.DUMMYFUNCTION("IMPORTRANGE(""https://docs.google.com/spreadsheets/d/1XL5vhW3sbDhbH9Cz0tuDiY8C3ctxq1tqvaCgkFb8cCA/edit?usp=sharing"",""อุดรธานี!J379"")"),2245)</f>
        <v>2245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IFERROR(__xludf.DUMMYFUNCTION("IMPORTRANGE(""https://docs.google.com/spreadsheets/d/1XL5vhW3sbDhbH9Cz0tuDiY8C3ctxq1tqvaCgkFb8cCA/edit?usp=sharing"",""อุดรธานี!I420"")"),0)</f>
        <v>0</v>
      </c>
      <c r="J525" s="285">
        <f ca="1">IFERROR(__xludf.DUMMYFUNCTION("IMPORTRANGE(""https://docs.google.com/spreadsheets/d/1XL5vhW3sbDhbH9Cz0tuDiY8C3ctxq1tqvaCgkFb8cCA/edit?usp=sharing"",""อุดรธานี!J420"")"),0)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IFERROR(__xludf.DUMMYFUNCTION("IMPORTRANGE(""https://docs.google.com/spreadsheets/d/1XL5vhW3sbDhbH9Cz0tuDiY8C3ctxq1tqvaCgkFb8cCA/edit?usp=sharing"",""อุดรธานี!I421"")"),0)</f>
        <v>0</v>
      </c>
      <c r="J526" s="285">
        <f ca="1">IFERROR(__xludf.DUMMYFUNCTION("IMPORTRANGE(""https://docs.google.com/spreadsheets/d/1XL5vhW3sbDhbH9Cz0tuDiY8C3ctxq1tqvaCgkFb8cCA/edit?usp=sharing"",""อุดรธานี!J421"")"),0)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IFERROR(__xludf.DUMMYFUNCTION("IMPORTRANGE(""https://docs.google.com/spreadsheets/d/1XL5vhW3sbDhbH9Cz0tuDiY8C3ctxq1tqvaCgkFb8cCA/edit?usp=sharing"",""อุดรธานี!J459"")"),14669)</f>
        <v>14669</v>
      </c>
      <c r="K564" s="372">
        <f ca="1">IF(I564&gt;0,J564*100/I564,0)</f>
        <v>282.09615384615387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IFERROR(__xludf.DUMMYFUNCTION("IMPORTRANGE(""https://docs.google.com/spreadsheets/d/1XL5vhW3sbDhbH9Cz0tuDiY8C3ctxq1tqvaCgkFb8cCA/edit?usp=sharing"",""อุดรธานี!M459"")"),150836.04)</f>
        <v>150836.04</v>
      </c>
      <c r="O564" s="373">
        <f t="shared" ref="O564:O568" ca="1" si="122">+IF(L564&gt;0,N564*100/L564,0)</f>
        <v>87.289375000000007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IFERROR(__xludf.DUMMYFUNCTION("IMPORTRANGE(""https://docs.google.com/spreadsheets/d/1XL5vhW3sbDhbH9Cz0tuDiY8C3ctxq1tqvaCgkFb8cCA/edit?usp=sharing"",""อุดรธานี!M461"")"),150836.04)</f>
        <v>150836.04</v>
      </c>
      <c r="O566" s="169">
        <f t="shared" ca="1" si="122"/>
        <v>87.289375000000007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IFERROR(__xludf.DUMMYFUNCTION("IMPORTRANGE(""https://docs.google.com/spreadsheets/d/1XL5vhW3sbDhbH9Cz0tuDiY8C3ctxq1tqvaCgkFb8cCA/edit?usp=sharing"",""อุดรธานี!M463"")"),150836.04)</f>
        <v>150836.04</v>
      </c>
      <c r="O568" s="169">
        <f t="shared" ca="1" si="122"/>
        <v>87.289375000000007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IFERROR(__xludf.DUMMYFUNCTION("IMPORTRANGE(""https://docs.google.com/spreadsheets/d/1XL5vhW3sbDhbH9Cz0tuDiY8C3ctxq1tqvaCgkFb8cCA/edit?usp=sharing"",""อุดรธานี!M466"")"),85480.64)</f>
        <v>85480.639999999999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IFERROR(__xludf.DUMMYFUNCTION("IMPORTRANGE(""https://docs.google.com/spreadsheets/d/1XL5vhW3sbDhbH9Cz0tuDiY8C3ctxq1tqvaCgkFb8cCA/edit?usp=sharing"",""อุดรธานี!J468"")"),14669)</f>
        <v>14669</v>
      </c>
      <c r="K573" s="202">
        <f ca="1">IF(I573&gt;0,J573*100/I573,0)</f>
        <v>282.09615384615387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IFERROR(__xludf.DUMMYFUNCTION("IMPORTRANGE(""https://docs.google.com/spreadsheets/d/1XL5vhW3sbDhbH9Cz0tuDiY8C3ctxq1tqvaCgkFb8cCA/edit?usp=sharing"",""อุดรธานี!J471"")"),489)</f>
        <v>489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IFERROR(__xludf.DUMMYFUNCTION("IMPORTRANGE(""https://docs.google.com/spreadsheets/d/1XL5vhW3sbDhbH9Cz0tuDiY8C3ctxq1tqvaCgkFb8cCA/edit?usp=sharing"",""อุดรธานี!J472"")"),14180)</f>
        <v>14180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IFERROR(__xludf.DUMMYFUNCTION("IMPORTRANGE(""https://docs.google.com/spreadsheets/d/1XL5vhW3sbDhbH9Cz0tuDiY8C3ctxq1tqvaCgkFb8cCA/edit?usp=sharing"",""อุดรธานี!J475"")"),178)</f>
        <v>178</v>
      </c>
      <c r="K580" s="372">
        <f ca="1">IF(I580&gt;0,J580*100/I580,0)</f>
        <v>46.842105263157897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IFERROR(__xludf.DUMMYFUNCTION("IMPORTRANGE(""https://docs.google.com/spreadsheets/d/1XL5vhW3sbDhbH9Cz0tuDiY8C3ctxq1tqvaCgkFb8cCA/edit?usp=sharing"",""อุดรธานี!M475"")"),460965.61)</f>
        <v>460965.61</v>
      </c>
      <c r="O580" s="373">
        <f t="shared" ref="O580:O584" ca="1" si="124">+IF(L580&gt;0,N580*100/L580,0)</f>
        <v>93.392278860569718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IFERROR(__xludf.DUMMYFUNCTION("IMPORTRANGE(""https://docs.google.com/spreadsheets/d/1XL5vhW3sbDhbH9Cz0tuDiY8C3ctxq1tqvaCgkFb8cCA/edit?usp=sharing"",""อุดรธานี!L477"")"),493580)</f>
        <v>493580</v>
      </c>
      <c r="M582" s="165"/>
      <c r="N582" s="169">
        <f ca="1">IFERROR(__xludf.DUMMYFUNCTION("IMPORTRANGE(""https://docs.google.com/spreadsheets/d/1XL5vhW3sbDhbH9Cz0tuDiY8C3ctxq1tqvaCgkFb8cCA/edit?usp=sharing"",""อุดรธานี!M477"")"),460965.61)</f>
        <v>460965.61</v>
      </c>
      <c r="O582" s="169">
        <f t="shared" ca="1" si="124"/>
        <v>93.392278860569718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IFERROR(__xludf.DUMMYFUNCTION("IMPORTRANGE(""https://docs.google.com/spreadsheets/d/1XL5vhW3sbDhbH9Cz0tuDiY8C3ctxq1tqvaCgkFb8cCA/edit?usp=sharing"",""อุดรธานี!L479"")"),493580)</f>
        <v>493580</v>
      </c>
      <c r="M584" s="169"/>
      <c r="N584" s="169">
        <f ca="1">IFERROR(__xludf.DUMMYFUNCTION("IMPORTRANGE(""https://docs.google.com/spreadsheets/d/1XL5vhW3sbDhbH9Cz0tuDiY8C3ctxq1tqvaCgkFb8cCA/edit?usp=sharing"",""อุดรธานี!M479"")"),460965.61)</f>
        <v>460965.61</v>
      </c>
      <c r="O584" s="169">
        <f t="shared" ca="1" si="124"/>
        <v>93.392278860569718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IFERROR(__xludf.DUMMYFUNCTION("IMPORTRANGE(""https://docs.google.com/spreadsheets/d/1XL5vhW3sbDhbH9Cz0tuDiY8C3ctxq1tqvaCgkFb8cCA/edit?usp=sharing"",""อุดรธานี!M482"")"),170665.58)</f>
        <v>170665.58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IFERROR(__xludf.DUMMYFUNCTION("IMPORTRANGE(""https://docs.google.com/spreadsheets/d/1XL5vhW3sbDhbH9Cz0tuDiY8C3ctxq1tqvaCgkFb8cCA/edit?usp=sharing"",""อุดรธานี!M483"")"),290300.03)</f>
        <v>290300.03000000003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IFERROR(__xludf.DUMMYFUNCTION("IMPORTRANGE(""https://docs.google.com/spreadsheets/d/1XL5vhW3sbDhbH9Cz0tuDiY8C3ctxq1tqvaCgkFb8cCA/edit?usp=sharing"",""อุดรธานี!J484"")"),547)</f>
        <v>547</v>
      </c>
      <c r="K589" s="163">
        <f t="shared" ref="K589:K596" ca="1" si="125">IF(I589&gt;0,J589*100/I589,0)</f>
        <v>143.94736842105263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IFERROR(__xludf.DUMMYFUNCTION("IMPORTRANGE(""https://docs.google.com/spreadsheets/d/1XL5vhW3sbDhbH9Cz0tuDiY8C3ctxq1tqvaCgkFb8cCA/edit?usp=sharing"",""อุดรธานี!J485"")"),286.19)</f>
        <v>286.19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IFERROR(__xludf.DUMMYFUNCTION("IMPORTRANGE(""https://docs.google.com/spreadsheets/d/1XL5vhW3sbDhbH9Cz0tuDiY8C3ctxq1tqvaCgkFb8cCA/edit?usp=sharing"",""อุดรธานี!J486"")"),581)</f>
        <v>581</v>
      </c>
      <c r="K591" s="163">
        <f t="shared" ca="1" si="125"/>
        <v>152.89473684210526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IFERROR(__xludf.DUMMYFUNCTION("IMPORTRANGE(""https://docs.google.com/spreadsheets/d/1XL5vhW3sbDhbH9Cz0tuDiY8C3ctxq1tqvaCgkFb8cCA/edit?usp=sharing"",""อุดรธานี!J487"")"),383.81)</f>
        <v>383.81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IFERROR(__xludf.DUMMYFUNCTION("IMPORTRANGE(""https://docs.google.com/spreadsheets/d/1XL5vhW3sbDhbH9Cz0tuDiY8C3ctxq1tqvaCgkFb8cCA/edit?usp=sharing"",""อุดรธานี!J488"")"),180)</f>
        <v>180</v>
      </c>
      <c r="K593" s="163">
        <f t="shared" ca="1" si="125"/>
        <v>47.368421052631582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IFERROR(__xludf.DUMMYFUNCTION("IMPORTRANGE(""https://docs.google.com/spreadsheets/d/1XL5vhW3sbDhbH9Cz0tuDiY8C3ctxq1tqvaCgkFb8cCA/edit?usp=sharing"",""อุดรธานี!J489"")"),91.73)</f>
        <v>91.73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IFERROR(__xludf.DUMMYFUNCTION("IMPORTRANGE(""https://docs.google.com/spreadsheets/d/1XL5vhW3sbDhbH9Cz0tuDiY8C3ctxq1tqvaCgkFb8cCA/edit?usp=sharing"",""อุดรธานี!J490"")"),178)</f>
        <v>178</v>
      </c>
      <c r="K595" s="163">
        <f t="shared" ca="1" si="125"/>
        <v>46.842105263157897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IFERROR(__xludf.DUMMYFUNCTION("IMPORTRANGE(""https://docs.google.com/spreadsheets/d/1XL5vhW3sbDhbH9Cz0tuDiY8C3ctxq1tqvaCgkFb8cCA/edit?usp=sharing"",""อุดรธานี!J491"")"),89.6)</f>
        <v>89.6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17.142857142857142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17.142857142857142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IFERROR(__xludf.DUMMYFUNCTION("IMPORTRANGE(""https://docs.google.com/spreadsheets/d/1XL5vhW3sbDhbH9Cz0tuDiY8C3ctxq1tqvaCgkFb8cCA/edit?usp=sharing"",""อุดรธานี!J166"")"),0)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IFERROR(__xludf.DUMMYFUNCTION("IMPORTRANGE(""https://docs.google.com/spreadsheets/d/1XL5vhW3sbDhbH9Cz0tuDiY8C3ctxq1tqvaCgkFb8cCA/edit?usp=sharing"",""อุดรธานี!J166"")"),0)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IFERROR(__xludf.DUMMYFUNCTION("IMPORTRANGE(""https://docs.google.com/spreadsheets/d/1XL5vhW3sbDhbH9Cz0tuDiY8C3ctxq1tqvaCgkFb8cCA/edit?usp=sharing"",""อุดรธานี!J523"")"),3149328.65)</f>
        <v>3149328.65</v>
      </c>
      <c r="K628" s="343">
        <f t="shared" ref="K628:K635" ca="1" si="129">IF(I628&gt;0,J628*100/I628,0)</f>
        <v>72.769078747014689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IFERROR(__xludf.DUMMYFUNCTION("IMPORTRANGE(""https://docs.google.com/spreadsheets/d/1XL5vhW3sbDhbH9Cz0tuDiY8C3ctxq1tqvaCgkFb8cCA/edit?usp=sharing"",""อุดรธานี!J524"")"),181)</f>
        <v>181</v>
      </c>
      <c r="K629" s="343">
        <f t="shared" ca="1" si="129"/>
        <v>59.933774834437088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IFERROR(__xludf.DUMMYFUNCTION("IMPORTRANGE(""https://docs.google.com/spreadsheets/d/1XL5vhW3sbDhbH9Cz0tuDiY8C3ctxq1tqvaCgkFb8cCA/edit?usp=sharing"",""อุดรธานี!J525"")"),590974.04)</f>
        <v>590974.04</v>
      </c>
      <c r="K630" s="343">
        <f t="shared" ca="1" si="129"/>
        <v>31.257558506181255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IFERROR(__xludf.DUMMYFUNCTION("IMPORTRANGE(""https://docs.google.com/spreadsheets/d/1XL5vhW3sbDhbH9Cz0tuDiY8C3ctxq1tqvaCgkFb8cCA/edit?usp=sharing"",""อุดรธานี!J526"")"),55)</f>
        <v>55</v>
      </c>
      <c r="K631" s="343">
        <f t="shared" ca="1" si="129"/>
        <v>45.833333333333336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IFERROR(__xludf.DUMMYFUNCTION("IMPORTRANGE(""https://docs.google.com/spreadsheets/d/1XL5vhW3sbDhbH9Cz0tuDiY8C3ctxq1tqvaCgkFb8cCA/edit?usp=sharing"",""อุดรธานี!J529"")"),4250000)</f>
        <v>4250000</v>
      </c>
      <c r="K634" s="343">
        <f t="shared" ca="1" si="129"/>
        <v>85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IFERROR(__xludf.DUMMYFUNCTION("IMPORTRANGE(""https://docs.google.com/spreadsheets/d/1XL5vhW3sbDhbH9Cz0tuDiY8C3ctxq1tqvaCgkFb8cCA/edit?usp=sharing"",""อุดรธานี!J530"")"),150)</f>
        <v>150</v>
      </c>
      <c r="K635" s="486">
        <f t="shared" ca="1" si="129"/>
        <v>75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106870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3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106870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106870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3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3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IFERROR(__xludf.DUMMYFUNCTION("IMPORTRANGE(""https://docs.google.com/spreadsheets/d/1XL5vhW3sbDhbH9Cz0tuDiY8C3ctxq1tqvaCgkFb8cCA/edit#gid=346597447"",""อุดรธานี!J541"")"),0)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3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IFERROR(__xludf.DUMMYFUNCTION("IMPORTRANGE(""https://docs.google.com/spreadsheets/d/1XL5vhW3sbDhbH9Cz0tuDiY8C3ctxq1tqvaCgkFb8cCA/edit#gid=346597447"",""อุดรธานี!J542"")"),0)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3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IFERROR(__xludf.DUMMYFUNCTION("IMPORTRANGE(""https://docs.google.com/spreadsheets/d/1XL5vhW3sbDhbH9Cz0tuDiY8C3ctxq1tqvaCgkFb8cCA/edit#gid=346597447"",""อุดรธานี!I543"")"),572)</f>
        <v>572</v>
      </c>
      <c r="J648" s="533">
        <f ca="1">IFERROR(__xludf.DUMMYFUNCTION("IMPORTRANGE(""https://docs.google.com/spreadsheets/d/1XL5vhW3sbDhbH9Cz0tuDiY8C3ctxq1tqvaCgkFb8cCA/edit#gid=346597447"",""อุดรธานี!J543"")"),0)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IFERROR(__xludf.DUMMYFUNCTION("IMPORTRANGE(""https://docs.google.com/spreadsheets/d/1XL5vhW3sbDhbH9Cz0tuDiY8C3ctxq1tqvaCgkFb8cCA/edit#gid=346597447"",""อุดรธานี!L543"")"),45760)</f>
        <v>45760</v>
      </c>
      <c r="M648" s="520"/>
      <c r="N648" s="535">
        <f ca="1">IFERROR(__xludf.DUMMYFUNCTION("IMPORTRANGE(""https://docs.google.com/spreadsheets/d/1XL5vhW3sbDhbH9Cz0tuDiY8C3ctxq1tqvaCgkFb8cCA/edit#gid=346597447"",""อุดรธานี!M543"")"),0)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3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IFERROR(__xludf.DUMMYFUNCTION("IMPORTRANGE(""https://docs.google.com/spreadsheets/d/1XL5vhW3sbDhbH9Cz0tuDiY8C3ctxq1tqvaCgkFb8cCA/edit#gid=346597447"",""อุดรธานี!I544"")"),53)</f>
        <v>53</v>
      </c>
      <c r="J649" s="533">
        <f ca="1">IFERROR(__xludf.DUMMYFUNCTION("IMPORTRANGE(""https://docs.google.com/spreadsheets/d/1XL5vhW3sbDhbH9Cz0tuDiY8C3ctxq1tqvaCgkFb8cCA/edit#gid=346597447"",""อุดรธานี!J544"")"),0)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IFERROR(__xludf.DUMMYFUNCTION("IMPORTRANGE(""https://docs.google.com/spreadsheets/d/1XL5vhW3sbDhbH9Cz0tuDiY8C3ctxq1tqvaCgkFb8cCA/edit#gid=346597447"",""อุดรธานี!L544"")"),6360)</f>
        <v>6360</v>
      </c>
      <c r="M649" s="520"/>
      <c r="N649" s="535">
        <f ca="1">IFERROR(__xludf.DUMMYFUNCTION("IMPORTRANGE(""https://docs.google.com/spreadsheets/d/1XL5vhW3sbDhbH9Cz0tuDiY8C3ctxq1tqvaCgkFb8cCA/edit#gid=346597447"",""อุดรธานี!M544"")"),0)</f>
        <v>0</v>
      </c>
      <c r="O649" s="534">
        <f t="shared" ca="1" si="132"/>
        <v>0</v>
      </c>
      <c r="P649" s="586"/>
    </row>
    <row r="650" spans="1:16" ht="21.75" customHeight="1" x14ac:dyDescent="0.3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IFERROR(__xludf.DUMMYFUNCTION("IMPORTRANGE(""https://docs.google.com/spreadsheets/d/1XL5vhW3sbDhbH9Cz0tuDiY8C3ctxq1tqvaCgkFb8cCA/edit#gid=346597447"",""อุดรธานี!I545"")"),0)</f>
        <v>0</v>
      </c>
      <c r="J650" s="533">
        <f ca="1">IFERROR(__xludf.DUMMYFUNCTION("IMPORTRANGE(""https://docs.google.com/spreadsheets/d/1XL5vhW3sbDhbH9Cz0tuDiY8C3ctxq1tqvaCgkFb8cCA/edit#gid=346597447"",""อุดรธานี!J545"")"),0)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IFERROR(__xludf.DUMMYFUNCTION("IMPORTRANGE(""https://docs.google.com/spreadsheets/d/1XL5vhW3sbDhbH9Cz0tuDiY8C3ctxq1tqvaCgkFb8cCA/edit#gid=346597447"",""อุดรธานี!L545"")"),0)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IFERROR(__xludf.DUMMYFUNCTION("IMPORTRANGE(""https://docs.google.com/spreadsheets/d/1XL5vhW3sbDhbH9Cz0tuDiY8C3ctxq1tqvaCgkFb8cCA/edit#gid=346597447"",""อุดรธานี!M545"")"),0)</f>
        <v>0</v>
      </c>
      <c r="O650" s="534">
        <f t="shared" ca="1" si="132"/>
        <v>0</v>
      </c>
      <c r="P650" s="586"/>
    </row>
    <row r="651" spans="1:16" ht="21.75" customHeight="1" x14ac:dyDescent="0.3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IFERROR(__xludf.DUMMYFUNCTION("IMPORTRANGE(""https://docs.google.com/spreadsheets/d/1XL5vhW3sbDhbH9Cz0tuDiY8C3ctxq1tqvaCgkFb8cCA/edit#gid=346597447"",""อุดรธานี!I546"")"),214)</f>
        <v>214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IFERROR(__xludf.DUMMYFUNCTION("IMPORTRANGE(""https://docs.google.com/spreadsheets/d/1XL5vhW3sbDhbH9Cz0tuDiY8C3ctxq1tqvaCgkFb8cCA/edit#gid=346597447"",""อุดรธานี!L546"")"),5350)</f>
        <v>5350</v>
      </c>
      <c r="M651" s="520"/>
      <c r="N651" s="535">
        <f ca="1">IFERROR(__xludf.DUMMYFUNCTION("IMPORTRANGE(""https://docs.google.com/spreadsheets/d/1XL5vhW3sbDhbH9Cz0tuDiY8C3ctxq1tqvaCgkFb8cCA/edit#gid=346597447"",""อุดรธานี!M546"")"),0)</f>
        <v>0</v>
      </c>
      <c r="O651" s="534">
        <f t="shared" ca="1" si="132"/>
        <v>0</v>
      </c>
      <c r="P651" s="58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IFERROR(__xludf.DUMMYFUNCTION("IMPORTRANGE(""https://docs.google.com/spreadsheets/d/1XL5vhW3sbDhbH9Cz0tuDiY8C3ctxq1tqvaCgkFb8cCA/edit#gid=346597447"",""อุดรธานี!J547"")"),0)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IFERROR(__xludf.DUMMYFUNCTION("IMPORTRANGE(""https://docs.google.com/spreadsheets/d/1XL5vhW3sbDhbH9Cz0tuDiY8C3ctxq1tqvaCgkFb8cCA/edit#gid=346597447"",""อุดรธานี!J548"")"),0)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IFERROR(__xludf.DUMMYFUNCTION("IMPORTRANGE(""https://docs.google.com/spreadsheets/d/1XL5vhW3sbDhbH9Cz0tuDiY8C3ctxq1tqvaCgkFb8cCA/edit#gid=346597447"",""อุดรธานี!J550"")"),0)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IFERROR(__xludf.DUMMYFUNCTION("IMPORTRANGE(""https://docs.google.com/spreadsheets/d/1XL5vhW3sbDhbH9Cz0tuDiY8C3ctxq1tqvaCgkFb8cCA/edit#gid=346597447"",""อุดรธานี!J551"")"),0)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IFERROR(__xludf.DUMMYFUNCTION("IMPORTRANGE(""https://docs.google.com/spreadsheets/d/1XL5vhW3sbDhbH9Cz0tuDiY8C3ctxq1tqvaCgkFb8cCA/edit#gid=346597447"",""อุดรธานี!J552"")"),0)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IFERROR(__xludf.DUMMYFUNCTION("IMPORTRANGE(""https://docs.google.com/spreadsheets/d/1XL5vhW3sbDhbH9Cz0tuDiY8C3ctxq1tqvaCgkFb8cCA/edit#gid=346597447"",""อุดรธานี!J553"")"),0)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IFERROR(__xludf.DUMMYFUNCTION("IMPORTRANGE(""https://docs.google.com/spreadsheets/d/1XL5vhW3sbDhbH9Cz0tuDiY8C3ctxq1tqvaCgkFb8cCA/edit#gid=346597447"",""อุดรธานี!J554"")"),0)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IFERROR(__xludf.DUMMYFUNCTION("IMPORTRANGE(""https://docs.google.com/spreadsheets/d/1XL5vhW3sbDhbH9Cz0tuDiY8C3ctxq1tqvaCgkFb8cCA/edit#gid=346597447"",""อุดรธานี!J555"")"),0)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3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IFERROR(__xludf.DUMMYFUNCTION("IMPORTRANGE(""https://docs.google.com/spreadsheets/d/1XL5vhW3sbDhbH9Cz0tuDiY8C3ctxq1tqvaCgkFb8cCA/edit#gid=346597447"",""อุดรธานี!J556"")"),0)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IFERROR(__xludf.DUMMYFUNCTION("IMPORTRANGE(""https://docs.google.com/spreadsheets/d/1XL5vhW3sbDhbH9Cz0tuDiY8C3ctxq1tqvaCgkFb8cCA/edit#gid=346597447"",""อุดรธานี!L556"")"),3640)</f>
        <v>3640</v>
      </c>
      <c r="M661" s="520"/>
      <c r="N661" s="535">
        <f ca="1">IFERROR(__xludf.DUMMYFUNCTION("IMPORTRANGE(""https://docs.google.com/spreadsheets/d/1XL5vhW3sbDhbH9Cz0tuDiY8C3ctxq1tqvaCgkFb8cCA/edit#gid=346597447"",""อุดรธานี!M556"")"),0)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IFERROR(__xludf.DUMMYFUNCTION("IMPORTRANGE(""https://docs.google.com/spreadsheets/d/1XL5vhW3sbDhbH9Cz0tuDiY8C3ctxq1tqvaCgkFb8cCA/edit#gid=346597447"",""อุดรธานี!J557"")"),0)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IFERROR(__xludf.DUMMYFUNCTION("IMPORTRANGE(""https://docs.google.com/spreadsheets/d/1XL5vhW3sbDhbH9Cz0tuDiY8C3ctxq1tqvaCgkFb8cCA/edit#gid=346597447"",""อุดรธานี!I558"")"),91)</f>
        <v>91</v>
      </c>
      <c r="J663" s="533">
        <f ca="1">IFERROR(__xludf.DUMMYFUNCTION("IMPORTRANGE(""https://docs.google.com/spreadsheets/d/1XL5vhW3sbDhbH9Cz0tuDiY8C3ctxq1tqvaCgkFb8cCA/edit#gid=346597447"",""อุดรธานี!J558"")"),0)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3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IFERROR(__xludf.DUMMYFUNCTION("IMPORTRANGE(""https://docs.google.com/spreadsheets/d/1XL5vhW3sbDhbH9Cz0tuDiY8C3ctxq1tqvaCgkFb8cCA/edit#gid=346597447"",""อุดรธานี!I560"")"),0)</f>
        <v>0</v>
      </c>
      <c r="J665" s="533">
        <f ca="1">IFERROR(__xludf.DUMMYFUNCTION("IMPORTRANGE(""https://docs.google.com/spreadsheets/d/1XL5vhW3sbDhbH9Cz0tuDiY8C3ctxq1tqvaCgkFb8cCA/edit#gid=346597447"",""อุดรธานี!J560"")"),0)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IFERROR(__xludf.DUMMYFUNCTION("IMPORTRANGE(""https://docs.google.com/spreadsheets/d/1XL5vhW3sbDhbH9Cz0tuDiY8C3ctxq1tqvaCgkFb8cCA/edit#gid=346597447"",""อุดรธานี!L560"")"),0)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IFERROR(__xludf.DUMMYFUNCTION("IMPORTRANGE(""https://docs.google.com/spreadsheets/d/1XL5vhW3sbDhbH9Cz0tuDiY8C3ctxq1tqvaCgkFb8cCA/edit#gid=346597447"",""อุดรธานี!M560"")"),0)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IFERROR(__xludf.DUMMYFUNCTION("IMPORTRANGE(""https://docs.google.com/spreadsheets/d/1XL5vhW3sbDhbH9Cz0tuDiY8C3ctxq1tqvaCgkFb8cCA/edit#gid=346597447"",""อุดรธานี!J561"")"),0)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IFERROR(__xludf.DUMMYFUNCTION("IMPORTRANGE(""https://docs.google.com/spreadsheets/d/1XL5vhW3sbDhbH9Cz0tuDiY8C3ctxq1tqvaCgkFb8cCA/edit#gid=346597447"",""อุดรธานี!J562"")"),0)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IFERROR(__xludf.DUMMYFUNCTION("IMPORTRANGE(""https://docs.google.com/spreadsheets/d/1XL5vhW3sbDhbH9Cz0tuDiY8C3ctxq1tqvaCgkFb8cCA/edit#gid=346597447"",""อุดรธานี!I563"")"),0)</f>
        <v>0</v>
      </c>
      <c r="J668" s="533">
        <f ca="1">IFERROR(__xludf.DUMMYFUNCTION("IMPORTRANGE(""https://docs.google.com/spreadsheets/d/1XL5vhW3sbDhbH9Cz0tuDiY8C3ctxq1tqvaCgkFb8cCA/edit#gid=346597447"",""อุดรธานี!J563"")"),0)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IFERROR(__xludf.DUMMYFUNCTION("IMPORTRANGE(""https://docs.google.com/spreadsheets/d/1XL5vhW3sbDhbH9Cz0tuDiY8C3ctxq1tqvaCgkFb8cCA/edit#gid=346597447"",""อุดรธานี!L563"")"),0)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IFERROR(__xludf.DUMMYFUNCTION("IMPORTRANGE(""https://docs.google.com/spreadsheets/d/1XL5vhW3sbDhbH9Cz0tuDiY8C3ctxq1tqvaCgkFb8cCA/edit#gid=346597447"",""อุดรธานี!M563"")"),0)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IFERROR(__xludf.DUMMYFUNCTION("IMPORTRANGE(""https://docs.google.com/spreadsheets/d/1XL5vhW3sbDhbH9Cz0tuDiY8C3ctxq1tqvaCgkFb8cCA/edit#gid=346597447"",""อุดรธานี!J564"")"),0)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IFERROR(__xludf.DUMMYFUNCTION("IMPORTRANGE(""https://docs.google.com/spreadsheets/d/1XL5vhW3sbDhbH9Cz0tuDiY8C3ctxq1tqvaCgkFb8cCA/edit#gid=346597447"",""อุดรธานี!J565"")"),0)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3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IFERROR(__xludf.DUMMYFUNCTION("IMPORTRANGE(""https://docs.google.com/spreadsheets/d/1XL5vhW3sbDhbH9Cz0tuDiY8C3ctxq1tqvaCgkFb8cCA/edit#gid=346597447"",""อุดรธานี!I566"")"),572)</f>
        <v>572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IFERROR(__xludf.DUMMYFUNCTION("IMPORTRANGE(""https://docs.google.com/spreadsheets/d/1XL5vhW3sbDhbH9Cz0tuDiY8C3ctxq1tqvaCgkFb8cCA/edit#gid=346597447"",""อุดรธานี!L566"")"),45760)</f>
        <v>45760</v>
      </c>
      <c r="M671" s="520"/>
      <c r="N671" s="535">
        <f ca="1">IFERROR(__xludf.DUMMYFUNCTION("IMPORTRANGE(""https://docs.google.com/spreadsheets/d/1XL5vhW3sbDhbH9Cz0tuDiY8C3ctxq1tqvaCgkFb8cCA/edit#gid=346597447"",""อุดรธานี!M566"")"),0)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IFERROR(__xludf.DUMMYFUNCTION("IMPORTRANGE(""https://docs.google.com/spreadsheets/d/1XL5vhW3sbDhbH9Cz0tuDiY8C3ctxq1tqvaCgkFb8cCA/edit#gid=346597447"",""อุดรธานี!J567"")"),0)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IFERROR(__xludf.DUMMYFUNCTION("IMPORTRANGE(""https://docs.google.com/spreadsheets/d/1XL5vhW3sbDhbH9Cz0tuDiY8C3ctxq1tqvaCgkFb8cCA/edit#gid=346597447"",""อุดรธานี!J568"")"),0)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IFERROR(__xludf.DUMMYFUNCTION("IMPORTRANGE(""https://docs.google.com/spreadsheets/d/1XL5vhW3sbDhbH9Cz0tuDiY8C3ctxq1tqvaCgkFb8cCA/edit#gid=346597447"",""อุดรธานี!J569"")"),0)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IFERROR(__xludf.DUMMYFUNCTION("IMPORTRANGE(""https://docs.google.com/spreadsheets/d/1XL5vhW3sbDhbH9Cz0tuDiY8C3ctxq1tqvaCgkFb8cCA/edit#gid=346597447"",""อุดรธานี!J570"")"),0)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IFERROR(__xludf.DUMMYFUNCTION("IMPORTRANGE(""https://docs.google.com/spreadsheets/d/1XL5vhW3sbDhbH9Cz0tuDiY8C3ctxq1tqvaCgkFb8cCA/edit#gid=346597447"",""อุดรธานี!J571"")"),0)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IFERROR(__xludf.DUMMYFUNCTION("IMPORTRANGE(""https://docs.google.com/spreadsheets/d/1XL5vhW3sbDhbH9Cz0tuDiY8C3ctxq1tqvaCgkFb8cCA/edit#gid=346597447"",""อุดรธานี!J572"")"),0)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298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8780625</v>
      </c>
      <c r="M8" s="23">
        <f t="shared" ca="1" si="0"/>
        <v>4389973.24</v>
      </c>
      <c r="N8" s="23">
        <f t="shared" ca="1" si="0"/>
        <v>6834736.5</v>
      </c>
      <c r="O8" s="22">
        <f t="shared" ref="O8:O16" ca="1" si="1">IF(L8&gt;0,N8*100/L8,0)</f>
        <v>77.838838351484085</v>
      </c>
      <c r="P8" s="22">
        <f t="shared" ref="P8:P16" ca="1" si="2">IF(M8&gt;0,N8*100/M8,0)</f>
        <v>155.68970757552955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8780625</v>
      </c>
      <c r="M10" s="30">
        <f t="shared" ca="1" si="4"/>
        <v>4389973.24</v>
      </c>
      <c r="N10" s="30">
        <f t="shared" ca="1" si="4"/>
        <v>6834736.5</v>
      </c>
      <c r="O10" s="29">
        <f t="shared" ca="1" si="1"/>
        <v>77.838838351484085</v>
      </c>
      <c r="P10" s="29">
        <f t="shared" ca="1" si="2"/>
        <v>155.68970757552955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7925670</v>
      </c>
      <c r="M12" s="38">
        <f t="shared" ca="1" si="6"/>
        <v>3535018.24</v>
      </c>
      <c r="N12" s="38">
        <f t="shared" ca="1" si="6"/>
        <v>5979781.5</v>
      </c>
      <c r="O12" s="38">
        <f t="shared" ca="1" si="1"/>
        <v>75.448277558868838</v>
      </c>
      <c r="P12" s="38">
        <f t="shared" ca="1" si="2"/>
        <v>169.15843410188458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5541370</v>
      </c>
      <c r="M14" s="38">
        <f t="shared" si="8"/>
        <v>0</v>
      </c>
      <c r="N14" s="38">
        <f t="shared" ca="1" si="8"/>
        <v>2712514.45</v>
      </c>
      <c r="O14" s="38">
        <f t="shared" ca="1" si="1"/>
        <v>48.950249667500998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854955</v>
      </c>
      <c r="M16" s="38">
        <f t="shared" ca="1" si="10"/>
        <v>854955</v>
      </c>
      <c r="N16" s="38">
        <f t="shared" ca="1" si="10"/>
        <v>854955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5428180</v>
      </c>
      <c r="M18" s="23">
        <f t="shared" ca="1" si="11"/>
        <v>4389973.24</v>
      </c>
      <c r="N18" s="23">
        <f t="shared" ca="1" si="11"/>
        <v>4122222.05</v>
      </c>
      <c r="O18" s="22">
        <f t="shared" ref="O18:O20" ca="1" si="12">IF(L18&gt;0,N18*100/L18,0)</f>
        <v>75.941145098357097</v>
      </c>
      <c r="P18" s="22">
        <f t="shared" ref="P18:P26" ca="1" si="13">IF(M18&gt;0,N18*100/M18,0)</f>
        <v>93.90084687623289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5428180</v>
      </c>
      <c r="M20" s="30">
        <f t="shared" ca="1" si="15"/>
        <v>4389973.24</v>
      </c>
      <c r="N20" s="30">
        <f t="shared" ca="1" si="15"/>
        <v>4122222.05</v>
      </c>
      <c r="O20" s="29">
        <f t="shared" ca="1" si="12"/>
        <v>75.941145098357097</v>
      </c>
      <c r="P20" s="29">
        <f t="shared" ca="1" si="13"/>
        <v>93.90084687623289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4573225</v>
      </c>
      <c r="M22" s="41">
        <f t="shared" ca="1" si="18"/>
        <v>3535018.24</v>
      </c>
      <c r="N22" s="38">
        <f t="shared" ca="1" si="18"/>
        <v>3267267.05</v>
      </c>
      <c r="O22" s="38">
        <f t="shared" ca="1" si="17"/>
        <v>71.443391698418509</v>
      </c>
      <c r="P22" s="38">
        <f t="shared" ca="1" si="13"/>
        <v>92.425747992745855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2188925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854955</v>
      </c>
      <c r="M26" s="49">
        <f t="shared" ca="1" si="22"/>
        <v>854955</v>
      </c>
      <c r="N26" s="49">
        <f t="shared" ca="1" si="22"/>
        <v>854955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3352445</v>
      </c>
      <c r="M28" s="23">
        <f t="shared" si="23"/>
        <v>0</v>
      </c>
      <c r="N28" s="23">
        <f t="shared" ca="1" si="23"/>
        <v>2712514.45</v>
      </c>
      <c r="O28" s="22">
        <f t="shared" ref="O28:O30" ca="1" si="24">IF(L28&gt;0,N28*100/L28,0)</f>
        <v>80.911527258463593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3352445</v>
      </c>
      <c r="M30" s="30">
        <f t="shared" si="27"/>
        <v>0</v>
      </c>
      <c r="N30" s="30">
        <f t="shared" ca="1" si="27"/>
        <v>2712514.45</v>
      </c>
      <c r="O30" s="29">
        <f t="shared" ca="1" si="24"/>
        <v>80.911527258463593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3352445</v>
      </c>
      <c r="M32" s="38">
        <f t="shared" si="30"/>
        <v>0</v>
      </c>
      <c r="N32" s="38">
        <f t="shared" ca="1" si="30"/>
        <v>2712514.45</v>
      </c>
      <c r="O32" s="38">
        <f t="shared" ca="1" si="29"/>
        <v>80.911527258463593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3352445</v>
      </c>
      <c r="M34" s="38">
        <f t="shared" si="32"/>
        <v>0</v>
      </c>
      <c r="N34" s="38">
        <f t="shared" ca="1" si="32"/>
        <v>2712514.45</v>
      </c>
      <c r="O34" s="38">
        <f t="shared" ca="1" si="29"/>
        <v>80.911527258463593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5428180</v>
      </c>
      <c r="M37" s="54">
        <f t="shared" ca="1" si="33"/>
        <v>4389973.24</v>
      </c>
      <c r="N37" s="54">
        <f t="shared" ca="1" si="33"/>
        <v>4122222.05</v>
      </c>
      <c r="O37" s="55">
        <f t="shared" ca="1" si="29"/>
        <v>75.941145098357097</v>
      </c>
      <c r="P37" s="55">
        <f t="shared" ca="1" si="25"/>
        <v>93.90084687623289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1717055</v>
      </c>
      <c r="M41" s="78">
        <f t="shared" ca="1" si="34"/>
        <v>1478555</v>
      </c>
      <c r="N41" s="78">
        <f t="shared" ca="1" si="34"/>
        <v>1472658.55</v>
      </c>
      <c r="O41" s="77">
        <f t="shared" ref="O41:O43" ca="1" si="35">IF(L41&gt;0,N41*100/L41,0)</f>
        <v>85.766533395843467</v>
      </c>
      <c r="P41" s="77">
        <f t="shared" ref="P41:P43" ca="1" si="36">IF(M41&gt;0,N41*100/M41,0)</f>
        <v>99.601201849102665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1717055</v>
      </c>
      <c r="M43" s="78">
        <f t="shared" ca="1" si="38"/>
        <v>1478555</v>
      </c>
      <c r="N43" s="78">
        <f t="shared" ca="1" si="38"/>
        <v>1472658.55</v>
      </c>
      <c r="O43" s="77">
        <f t="shared" ca="1" si="35"/>
        <v>85.766533395843467</v>
      </c>
      <c r="P43" s="77">
        <f t="shared" ca="1" si="36"/>
        <v>99.601201849102665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IFERROR(__xludf.DUMMYFUNCTION("IMPORTRANGE(""https://docs.google.com/spreadsheets/d/1Yj_ptqi66GCucihVvJfMjLAmec39IyEx_6qawtMGysU/edit?usp=sharing"",""สบก!Q57"")"),715600)</f>
        <v>715600</v>
      </c>
      <c r="N45" s="49">
        <f ca="1">IFERROR(__xludf.DUMMYFUNCTION("IMPORTRANGE(""https://docs.google.com/spreadsheets/d/1Yj_ptqi66GCucihVvJfMjLAmec39IyEx_6qawtMGysU/edit?usp=sharing"",""สบก!R57"")"),709703.55)</f>
        <v>709703.55</v>
      </c>
      <c r="O45" s="38">
        <f ca="1">IF(L45&gt;0,N45*100/L45,0)</f>
        <v>74.384608531600463</v>
      </c>
      <c r="P45" s="38">
        <f ca="1">IF(M45&gt;0,N45*100/M45,0)</f>
        <v>99.176013135830075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IFERROR(__xludf.DUMMYFUNCTION("IMPORTRANGE(""https://docs.google.com/spreadsheets/d/1Yj_ptqi66GCucihVvJfMjLAmec39IyEx_6qawtMGysU/edit?usp=sharing"",""สบก!O57"")"),762955)</f>
        <v>762955</v>
      </c>
      <c r="M49" s="49">
        <f ca="1">L49</f>
        <v>762955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400353.24</v>
      </c>
      <c r="N53" s="121">
        <f t="shared" ca="1" si="39"/>
        <v>344942</v>
      </c>
      <c r="O53" s="120">
        <f t="shared" ref="O53:O55" ca="1" si="40">IF(L53&gt;0,N53*100/L53,0)</f>
        <v>74.857204861111114</v>
      </c>
      <c r="P53" s="120">
        <f t="shared" ref="P53:P55" ca="1" si="41">IF(M53&gt;0,N53*100/M53,0)</f>
        <v>86.159412622712878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400353.24</v>
      </c>
      <c r="N55" s="121">
        <f t="shared" ca="1" si="43"/>
        <v>344942</v>
      </c>
      <c r="O55" s="120">
        <f t="shared" ca="1" si="40"/>
        <v>74.857204861111114</v>
      </c>
      <c r="P55" s="120">
        <f t="shared" ca="1" si="41"/>
        <v>86.159412622712878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IFERROR(__xludf.DUMMYFUNCTION("IMPORTRANGE(""https://docs.google.com/spreadsheets/d/1Yj_ptqi66GCucihVvJfMjLAmec39IyEx_6qawtMGysU/edit?usp=sharing"",""สบก!Z57"")"),400353.24)</f>
        <v>400353.24</v>
      </c>
      <c r="N57" s="49">
        <f ca="1">IFERROR(__xludf.DUMMYFUNCTION("IMPORTRANGE(""https://docs.google.com/spreadsheets/d/1Yj_ptqi66GCucihVvJfMjLAmec39IyEx_6qawtMGysU/edit?usp=sharing"",""สบก!AA57"")"),344942)</f>
        <v>344942</v>
      </c>
      <c r="O57" s="38">
        <f ca="1">IF(L57&gt;0,N57*100/L57,0)</f>
        <v>74.857204861111114</v>
      </c>
      <c r="P57" s="38">
        <f ca="1">IF(M57&gt;0,N57*100/M57,0)</f>
        <v>86.159412622712878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142084.29999999999</v>
      </c>
      <c r="O94" s="151">
        <f t="shared" ref="O94:O96" ca="1" si="53">IF(L94&gt;0,N94*100/L94,0)</f>
        <v>66.363521718822966</v>
      </c>
      <c r="P94" s="151">
        <f t="shared" ref="P94:P96" ca="1" si="54">IF(M94&gt;0,N94*100/M94,0)</f>
        <v>73.218572054314492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142084.29999999999</v>
      </c>
      <c r="O96" s="156">
        <f t="shared" ca="1" si="53"/>
        <v>66.363521718822966</v>
      </c>
      <c r="P96" s="156">
        <f t="shared" ca="1" si="54"/>
        <v>73.218572054314492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IFERROR(__xludf.DUMMYFUNCTION("IMPORTRANGE(""https://docs.google.com/spreadsheets/d/1Yj_ptqi66GCucihVvJfMjLAmec39IyEx_6qawtMGysU/edit?usp=sharing"",""สบก!AR57"")"),102055)</f>
        <v>102055</v>
      </c>
      <c r="N98" s="169">
        <f ca="1">IFERROR(__xludf.DUMMYFUNCTION("IMPORTRANGE(""https://docs.google.com/spreadsheets/d/1Yj_ptqi66GCucihVvJfMjLAmec39IyEx_6qawtMGysU/edit?usp=sharing"",""สบก!AS57"")"),50084.3)</f>
        <v>50084.3</v>
      </c>
      <c r="O98" s="169">
        <f ca="1">IF(L98&gt;0,N98*100/L98,0)</f>
        <v>41.019082719082718</v>
      </c>
      <c r="P98" s="169">
        <f ca="1">IF(M98&gt;0,N98*100/M98,0)</f>
        <v>49.075792464847389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912850</v>
      </c>
      <c r="M140" s="152">
        <f t="shared" ca="1" si="64"/>
        <v>736275</v>
      </c>
      <c r="N140" s="152">
        <f t="shared" ca="1" si="64"/>
        <v>754284.2</v>
      </c>
      <c r="O140" s="151">
        <f t="shared" ref="O140:O142" ca="1" si="65">IF(L140&gt;0,N140*100/L140,0)</f>
        <v>82.629588650928412</v>
      </c>
      <c r="P140" s="151">
        <f t="shared" ref="P140:P142" ca="1" si="66">IF(M140&gt;0,N140*100/M140,0)</f>
        <v>102.44598825167228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912850</v>
      </c>
      <c r="M142" s="157">
        <f t="shared" ca="1" si="68"/>
        <v>736275</v>
      </c>
      <c r="N142" s="157">
        <f t="shared" ca="1" si="68"/>
        <v>754284.2</v>
      </c>
      <c r="O142" s="156">
        <f t="shared" ca="1" si="65"/>
        <v>82.629588650928412</v>
      </c>
      <c r="P142" s="156">
        <f t="shared" ca="1" si="66"/>
        <v>102.44598825167228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912850</v>
      </c>
      <c r="M144" s="168">
        <f ca="1">IFERROR(__xludf.DUMMYFUNCTION("IMPORTRANGE(""https://docs.google.com/spreadsheets/d/1Yj_ptqi66GCucihVvJfMjLAmec39IyEx_6qawtMGysU/edit?usp=sharing"",""สบก!BJ57"")"),736275)</f>
        <v>736275</v>
      </c>
      <c r="N144" s="169">
        <f ca="1">IFERROR(__xludf.DUMMYFUNCTION("IMPORTRANGE(""https://docs.google.com/spreadsheets/d/1Yj_ptqi66GCucihVvJfMjLAmec39IyEx_6qawtMGysU/edit?usp=sharing"",""สบก!BK57"")"),754284.2)</f>
        <v>754284.2</v>
      </c>
      <c r="O144" s="169">
        <f ca="1">IF(L144&gt;0,N144*100/L144,0)</f>
        <v>82.629588650928412</v>
      </c>
      <c r="P144" s="169">
        <f ca="1">IF(M144&gt;0,N144*100/M144,0)</f>
        <v>102.44598825167228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IFERROR(__xludf.DUMMYFUNCTION("IMPORTRANGE(""https://docs.google.com/spreadsheets/d/1Yj_ptqi66GCucihVvJfMjLAmec39IyEx_6qawtMGysU/edit?usp=sharing"",""สบก!BG57"")"),443850)</f>
        <v>443850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IFERROR(__xludf.DUMMYFUNCTION("IMPORTRANGE(""https://docs.google.com/spreadsheets/d/1Yj_ptqi66GCucihVvJfMjLAmec39IyEx_6qawtMGysU/edit?usp=sharing"",""สบก!BS57"")"),21125)</f>
        <v>21125</v>
      </c>
      <c r="N224" s="169">
        <f ca="1">IFERROR(__xludf.DUMMYFUNCTION("IMPORTRANGE(""https://docs.google.com/spreadsheets/d/1Yj_ptqi66GCucihVvJfMjLAmec39IyEx_6qawtMGysU/edit?usp=sharing"",""สบก!BT57"")"),0)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43017.75</v>
      </c>
      <c r="O250" s="151">
        <f t="shared" ref="O250:O252" ca="1" si="78">IF(L250&gt;0,N250*100/L250,0)</f>
        <v>48.334550561797755</v>
      </c>
      <c r="P250" s="151">
        <f t="shared" ref="P250:P252" ca="1" si="79">IF(M250&gt;0,N250*100/M250,0)</f>
        <v>90.563684210526318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43017.75</v>
      </c>
      <c r="O252" s="156">
        <f t="shared" ca="1" si="78"/>
        <v>48.334550561797755</v>
      </c>
      <c r="P252" s="156">
        <f t="shared" ca="1" si="79"/>
        <v>90.563684210526318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IFERROR(__xludf.DUMMYFUNCTION("IMPORTRANGE(""https://docs.google.com/spreadsheets/d/1Yj_ptqi66GCucihVvJfMjLAmec39IyEx_6qawtMGysU/edit?usp=sharing"",""สบก!CB57"")"),47500)</f>
        <v>47500</v>
      </c>
      <c r="N254" s="169">
        <f ca="1">IFERROR(__xludf.DUMMYFUNCTION("IMPORTRANGE(""https://docs.google.com/spreadsheets/d/1Yj_ptqi66GCucihVvJfMjLAmec39IyEx_6qawtMGysU/edit?usp=sharing"",""สบก!CC57"")"),43017.75)</f>
        <v>43017.75</v>
      </c>
      <c r="O254" s="169">
        <f ca="1">IF(L254&gt;0,N254*100/L254,0)</f>
        <v>48.334550561797755</v>
      </c>
      <c r="P254" s="169">
        <f ca="1">IF(M254&gt;0,N254*100/M254,0)</f>
        <v>90.563684210526318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161600</v>
      </c>
      <c r="N271" s="152">
        <f t="shared" ca="1" si="83"/>
        <v>118227.1</v>
      </c>
      <c r="O271" s="151">
        <f t="shared" ref="O271:O273" ca="1" si="84">IF(L271&gt;0,N271*100/L271,0)</f>
        <v>64.393845315904144</v>
      </c>
      <c r="P271" s="151">
        <f t="shared" ref="P271:P273" ca="1" si="85">IF(M271&gt;0,N271*100/M271,0)</f>
        <v>73.160334158415836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161600</v>
      </c>
      <c r="N273" s="157">
        <f t="shared" ca="1" si="87"/>
        <v>118227.1</v>
      </c>
      <c r="O273" s="156">
        <f t="shared" ca="1" si="84"/>
        <v>64.393845315904144</v>
      </c>
      <c r="P273" s="156">
        <f t="shared" ca="1" si="85"/>
        <v>73.160334158415836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IFERROR(__xludf.DUMMYFUNCTION("IMPORTRANGE(""https://docs.google.com/spreadsheets/d/1Yj_ptqi66GCucihVvJfMjLAmec39IyEx_6qawtMGysU/edit?usp=sharing"",""สบก!CK57"")"),161600)</f>
        <v>161600</v>
      </c>
      <c r="N275" s="169">
        <f ca="1">IFERROR(__xludf.DUMMYFUNCTION("IMPORTRANGE(""https://docs.google.com/spreadsheets/d/1Yj_ptqi66GCucihVvJfMjLAmec39IyEx_6qawtMGysU/edit?usp=sharing"",""สบก!CL57"")"),118227.1)</f>
        <v>118227.1</v>
      </c>
      <c r="O275" s="169">
        <f ca="1">IF(L275&gt;0,N275*100/L275,0)</f>
        <v>64.393845315904144</v>
      </c>
      <c r="P275" s="169">
        <f ca="1">IF(M275&gt;0,N275*100/M275,0)</f>
        <v>73.160334158415836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IFERROR(__xludf.DUMMYFUNCTION("IMPORTRANGE(""https://docs.google.com/spreadsheets/d/1XL5vhW3sbDhbH9Cz0tuDiY8C3ctxq1tqvaCgkFb8cCA/edit?usp=sharing"",""อุบลราชธานี!J228"")"),307)</f>
        <v>307</v>
      </c>
      <c r="K328" s="318">
        <f ca="1">IF(I328&gt;0,J328*100/I328,0)</f>
        <v>27.410714285714285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1350510</v>
      </c>
      <c r="N329" s="152">
        <f t="shared" ca="1" si="98"/>
        <v>1247008.1499999999</v>
      </c>
      <c r="O329" s="151">
        <f t="shared" ref="O329:O331" ca="1" si="99">IF(L329&gt;0,N329*100/L329,0)</f>
        <v>68.155557073757265</v>
      </c>
      <c r="P329" s="151">
        <f t="shared" ref="P329:P331" ca="1" si="100">IF(M329&gt;0,N329*100/M329,0)</f>
        <v>92.336091550599392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1350510</v>
      </c>
      <c r="N331" s="157">
        <f t="shared" ca="1" si="102"/>
        <v>1247008.1499999999</v>
      </c>
      <c r="O331" s="156">
        <f t="shared" ca="1" si="99"/>
        <v>68.155557073757265</v>
      </c>
      <c r="P331" s="156">
        <f t="shared" ca="1" si="100"/>
        <v>92.336091550599392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IFERROR(__xludf.DUMMYFUNCTION("IMPORTRANGE(""https://docs.google.com/spreadsheets/d/1Yj_ptqi66GCucihVvJfMjLAmec39IyEx_6qawtMGysU/edit?usp=sharing"",""สบก!DL57"")"),1350510)</f>
        <v>1350510</v>
      </c>
      <c r="N333" s="169">
        <f ca="1">IFERROR(__xludf.DUMMYFUNCTION("IMPORTRANGE(""https://docs.google.com/spreadsheets/d/1Yj_ptqi66GCucihVvJfMjLAmec39IyEx_6qawtMGysU/edit?usp=sharing"",""สบก!DM57"")"),1247008.15)</f>
        <v>1247008.1499999999</v>
      </c>
      <c r="O333" s="169">
        <f ca="1">IF(L333&gt;0,N333*100/L333,0)</f>
        <v>68.155557073757265</v>
      </c>
      <c r="P333" s="169">
        <f ca="1">IF(M333&gt;0,N333*100/M333,0)</f>
        <v>92.336091550599392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IFERROR(__xludf.DUMMYFUNCTION("IMPORTRANGE(""https://docs.google.com/spreadsheets/d/1XL5vhW3sbDhbH9Cz0tuDiY8C3ctxq1tqvaCgkFb8cCA/edit?usp=sharing"",""อุบลราชธานี!J234"")"),913)</f>
        <v>913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IFERROR(__xludf.DUMMYFUNCTION("IMPORTRANGE(""https://docs.google.com/spreadsheets/d/1XL5vhW3sbDhbH9Cz0tuDiY8C3ctxq1tqvaCgkFb8cCA/edit?usp=sharing"",""อุบลราชธานี!J235"")"),6663.55999999999)</f>
        <v>6663.5599999999904</v>
      </c>
      <c r="K340" s="343">
        <f t="shared" ca="1" si="103"/>
        <v>69.124066390041392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IFERROR(__xludf.DUMMYFUNCTION("IMPORTRANGE(""https://docs.google.com/spreadsheets/d/1XL5vhW3sbDhbH9Cz0tuDiY8C3ctxq1tqvaCgkFb8cCA/edit?usp=sharing"",""อุบลราชธานี!J236"")"),843)</f>
        <v>843</v>
      </c>
      <c r="K341" s="343">
        <f t="shared" ca="1" si="103"/>
        <v>75.267857142857139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IFERROR(__xludf.DUMMYFUNCTION("IMPORTRANGE(""https://docs.google.com/spreadsheets/d/1XL5vhW3sbDhbH9Cz0tuDiY8C3ctxq1tqvaCgkFb8cCA/edit?usp=sharing"",""อุบลราชธานี!J237"")"),7735.37)</f>
        <v>7735.37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IFERROR(__xludf.DUMMYFUNCTION("IMPORTRANGE(""https://docs.google.com/spreadsheets/d/1XL5vhW3sbDhbH9Cz0tuDiY8C3ctxq1tqvaCgkFb8cCA/edit?usp=sharing"",""อุบลราชธานี!J238"")"),130)</f>
        <v>130</v>
      </c>
      <c r="K343" s="343">
        <f t="shared" ca="1" si="103"/>
        <v>11.607142857142858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IFERROR(__xludf.DUMMYFUNCTION("IMPORTRANGE(""https://docs.google.com/spreadsheets/d/1XL5vhW3sbDhbH9Cz0tuDiY8C3ctxq1tqvaCgkFb8cCA/edit?usp=sharing"",""อุบลราชธานี!J239"")"),1603.17)</f>
        <v>1603.17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IFERROR(__xludf.DUMMYFUNCTION("IMPORTRANGE(""https://docs.google.com/spreadsheets/d/1XL5vhW3sbDhbH9Cz0tuDiY8C3ctxq1tqvaCgkFb8cCA/edit?usp=sharing"",""อุบลราชธานี!J240"")"),307)</f>
        <v>307</v>
      </c>
      <c r="K345" s="343">
        <f t="shared" ca="1" si="103"/>
        <v>27.410714285714285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IFERROR(__xludf.DUMMYFUNCTION("IMPORTRANGE(""https://docs.google.com/spreadsheets/d/1XL5vhW3sbDhbH9Cz0tuDiY8C3ctxq1tqvaCgkFb8cCA/edit?usp=sharing"",""อุบลราชธานี!J241"")"),3602.72)</f>
        <v>3602.72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IFERROR(__xludf.DUMMYFUNCTION("IMPORTRANGE(""https://docs.google.com/spreadsheets/d/1XL5vhW3sbDhbH9Cz0tuDiY8C3ctxq1tqvaCgkFb8cCA/edit?usp=sharing"",""อุบลราชธานี!L242"")"),3352445)</f>
        <v>3352445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IFERROR(__xludf.DUMMYFUNCTION("IMPORTRANGE(""https://docs.google.com/spreadsheets/d/1XL5vhW3sbDhbH9Cz0tuDiY8C3ctxq1tqvaCgkFb8cCA/edit?usp=sharing"",""อุบลราชธานี!M242"")"),2712514.45)</f>
        <v>2712514.45</v>
      </c>
      <c r="O347" s="358">
        <f ca="1">+IF(L347&gt;0,N347*100/L347,0)</f>
        <v>80.911527258463593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IFERROR(__xludf.DUMMYFUNCTION("IMPORTRANGE(""https://docs.google.com/spreadsheets/d/1XL5vhW3sbDhbH9Cz0tuDiY8C3ctxq1tqvaCgkFb8cCA/edit?usp=sharing"",""อุบลราชธานี!M244"")"),464733)</f>
        <v>464733</v>
      </c>
      <c r="O349" s="373">
        <f ca="1">+IF(L349&gt;0,N349*100/L349,0)</f>
        <v>84.46926460431132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IFERROR(__xludf.DUMMYFUNCTION("IMPORTRANGE(""https://docs.google.com/spreadsheets/d/1XL5vhW3sbDhbH9Cz0tuDiY8C3ctxq1tqvaCgkFb8cCA/edit?usp=sharing"",""อุบลราชธานี!M247"")"),464733)</f>
        <v>464733</v>
      </c>
      <c r="O352" s="165">
        <f t="shared" ca="1" si="105"/>
        <v>84.46926460431132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IFERROR(__xludf.DUMMYFUNCTION("IMPORTRANGE(""https://docs.google.com/spreadsheets/d/1XL5vhW3sbDhbH9Cz0tuDiY8C3ctxq1tqvaCgkFb8cCA/edit?usp=sharing"",""อุบลราชธานี!M249"")"),464733)</f>
        <v>464733</v>
      </c>
      <c r="O354" s="169">
        <f t="shared" ca="1" si="105"/>
        <v>84.46926460431132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IFERROR(__xludf.DUMMYFUNCTION("IMPORTRANGE(""https://docs.google.com/spreadsheets/d/1XL5vhW3sbDhbH9Cz0tuDiY8C3ctxq1tqvaCgkFb8cCA/edit?usp=sharing"",""อุบลราชธานี!M250"")"),103400)</f>
        <v>103400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IFERROR(__xludf.DUMMYFUNCTION("IMPORTRANGE(""https://docs.google.com/spreadsheets/d/1XL5vhW3sbDhbH9Cz0tuDiY8C3ctxq1tqvaCgkFb8cCA/edit?usp=sharing"",""อุบลราชธานี!M252"")"),76266)</f>
        <v>76266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IFERROR(__xludf.DUMMYFUNCTION("IMPORTRANGE(""https://docs.google.com/spreadsheets/d/1XL5vhW3sbDhbH9Cz0tuDiY8C3ctxq1tqvaCgkFb8cCA/edit?usp=sharing"",""อุบลราชธานี!M253"")"),35067)</f>
        <v>35067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IFERROR(__xludf.DUMMYFUNCTION("IMPORTRANGE(""https://docs.google.com/spreadsheets/d/1XL5vhW3sbDhbH9Cz0tuDiY8C3ctxq1tqvaCgkFb8cCA/edit?usp=sharing"",""อุบลราชธานี!M275"")"),948514)</f>
        <v>948514</v>
      </c>
      <c r="O380" s="373">
        <f ca="1">+IF(L380&gt;0,N380*100/L380,0)</f>
        <v>92.221249951386454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IFERROR(__xludf.DUMMYFUNCTION("IMPORTRANGE(""https://docs.google.com/spreadsheets/d/1XL5vhW3sbDhbH9Cz0tuDiY8C3ctxq1tqvaCgkFb8cCA/edit?usp=sharing"",""อุบลราชธานี!M278"")"),948514)</f>
        <v>948514</v>
      </c>
      <c r="O383" s="165">
        <f t="shared" ca="1" si="109"/>
        <v>92.221249951386454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IFERROR(__xludf.DUMMYFUNCTION("IMPORTRANGE(""https://docs.google.com/spreadsheets/d/1XL5vhW3sbDhbH9Cz0tuDiY8C3ctxq1tqvaCgkFb8cCA/edit?usp=sharing"",""อุบลราชธานี!M280"")"),948514)</f>
        <v>948514</v>
      </c>
      <c r="O385" s="169">
        <f t="shared" ca="1" si="109"/>
        <v>92.221249951386454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IFERROR(__xludf.DUMMYFUNCTION("IMPORTRANGE(""https://docs.google.com/spreadsheets/d/1XL5vhW3sbDhbH9Cz0tuDiY8C3ctxq1tqvaCgkFb8cCA/edit?usp=sharing"",""อุบลราชธานี!M281"")"),175000)</f>
        <v>175000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IFERROR(__xludf.DUMMYFUNCTION("IMPORTRANGE(""https://docs.google.com/spreadsheets/d/1XL5vhW3sbDhbH9Cz0tuDiY8C3ctxq1tqvaCgkFb8cCA/edit?usp=sharing"",""อุบลราชธานี!M283"")"),77000)</f>
        <v>77000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IFERROR(__xludf.DUMMYFUNCTION("IMPORTRANGE(""https://docs.google.com/spreadsheets/d/1XL5vhW3sbDhbH9Cz0tuDiY8C3ctxq1tqvaCgkFb8cCA/edit?usp=sharing"",""อุบลราชธานี!M284"")"),71514)</f>
        <v>71514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IFERROR(__xludf.DUMMYFUNCTION("IMPORTRANGE(""https://docs.google.com/spreadsheets/d/1XL5vhW3sbDhbH9Cz0tuDiY8C3ctxq1tqvaCgkFb8cCA/edit?usp=sharing"",""อุบลราชธานี!M296"")"),216217)</f>
        <v>216217</v>
      </c>
      <c r="O401" s="373">
        <f ca="1">+IF(L401&gt;0,N401*100/L401,0)</f>
        <v>92.685613854595331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IFERROR(__xludf.DUMMYFUNCTION("IMPORTRANGE(""https://docs.google.com/spreadsheets/d/1XL5vhW3sbDhbH9Cz0tuDiY8C3ctxq1tqvaCgkFb8cCA/edit?usp=sharing"",""อุบลราชธานี!M299"")"),216217)</f>
        <v>216217</v>
      </c>
      <c r="O404" s="169">
        <f t="shared" ca="1" si="112"/>
        <v>92.685613854595331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IFERROR(__xludf.DUMMYFUNCTION("IMPORTRANGE(""https://docs.google.com/spreadsheets/d/1XL5vhW3sbDhbH9Cz0tuDiY8C3ctxq1tqvaCgkFb8cCA/edit?usp=sharing"",""อุบลราชธานี!M301"")"),216217)</f>
        <v>216217</v>
      </c>
      <c r="O406" s="169">
        <f t="shared" ca="1" si="112"/>
        <v>92.685613854595331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IFERROR(__xludf.DUMMYFUNCTION("IMPORTRANGE(""https://docs.google.com/spreadsheets/d/1XL5vhW3sbDhbH9Cz0tuDiY8C3ctxq1tqvaCgkFb8cCA/edit?usp=sharing"",""อุบลราชธานี!M302"")"),124310)</f>
        <v>124310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IFERROR(__xludf.DUMMYFUNCTION("IMPORTRANGE(""https://docs.google.com/spreadsheets/d/1XL5vhW3sbDhbH9Cz0tuDiY8C3ctxq1tqvaCgkFb8cCA/edit?usp=sharing"",""อุบลราชธานี!M305"")"),38807)</f>
        <v>38807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IFERROR(__xludf.DUMMYFUNCTION("IMPORTRANGE(""https://docs.google.com/spreadsheets/d/1XL5vhW3sbDhbH9Cz0tuDiY8C3ctxq1tqvaCgkFb8cCA/edit?usp=sharing"",""อุบลราชธานี!M330"")"),135678)</f>
        <v>135678</v>
      </c>
      <c r="O435" s="412">
        <f t="shared" ref="O435:O439" ca="1" si="114">+IF(L435&gt;0,N435*100/L435,0)</f>
        <v>94.220833333333331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IFERROR(__xludf.DUMMYFUNCTION("IMPORTRANGE(""https://docs.google.com/spreadsheets/d/1XL5vhW3sbDhbH9Cz0tuDiY8C3ctxq1tqvaCgkFb8cCA/edit?usp=sharing"",""อุบลราชธานี!M332"")"),135678)</f>
        <v>135678</v>
      </c>
      <c r="O437" s="169">
        <f t="shared" ca="1" si="114"/>
        <v>94.220833333333331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IFERROR(__xludf.DUMMYFUNCTION("IMPORTRANGE(""https://docs.google.com/spreadsheets/d/1XL5vhW3sbDhbH9Cz0tuDiY8C3ctxq1tqvaCgkFb8cCA/edit?usp=sharing"",""อุบลราชธานี!M334"")"),135678)</f>
        <v>135678</v>
      </c>
      <c r="O439" s="169">
        <f t="shared" ca="1" si="114"/>
        <v>94.220833333333331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IFERROR(__xludf.DUMMYFUNCTION("IMPORTRANGE(""https://docs.google.com/spreadsheets/d/1XL5vhW3sbDhbH9Cz0tuDiY8C3ctxq1tqvaCgkFb8cCA/edit?usp=sharing"",""อุบลราชธานี!M335"")"),35460)</f>
        <v>35460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IFERROR(__xludf.DUMMYFUNCTION("IMPORTRANGE(""https://docs.google.com/spreadsheets/d/1XL5vhW3sbDhbH9Cz0tuDiY8C3ctxq1tqvaCgkFb8cCA/edit?usp=sharing"",""อุบลราชธานี!M338"")"),100218)</f>
        <v>100218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IFERROR(__xludf.DUMMYFUNCTION("IMPORTRANGE(""https://docs.google.com/spreadsheets/d/1XL5vhW3sbDhbH9Cz0tuDiY8C3ctxq1tqvaCgkFb8cCA/edit?usp=sharing"",""อุบลราชธานี!J350"")"),44577)</f>
        <v>44577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IFERROR(__xludf.DUMMYFUNCTION("IMPORTRANGE(""https://docs.google.com/spreadsheets/d/1XL5vhW3sbDhbH9Cz0tuDiY8C3ctxq1tqvaCgkFb8cCA/edit?usp=sharing"",""อุบลราชธานี!L350"")"),490575)</f>
        <v>490575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IFERROR(__xludf.DUMMYFUNCTION("IMPORTRANGE(""https://docs.google.com/spreadsheets/d/1XL5vhW3sbDhbH9Cz0tuDiY8C3ctxq1tqvaCgkFb8cCA/edit?usp=sharing"",""อุบลราชธานี!M350"")"),203207)</f>
        <v>203207</v>
      </c>
      <c r="O455" s="373">
        <f t="shared" ref="O455:O459" ca="1" si="116">+IF(L455&gt;0,N455*100/L455,0)</f>
        <v>41.4222086327269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IFERROR(__xludf.DUMMYFUNCTION("IMPORTRANGE(""https://docs.google.com/spreadsheets/d/1XL5vhW3sbDhbH9Cz0tuDiY8C3ctxq1tqvaCgkFb8cCA/edit?usp=sharing"",""อุบลราชธานี!L352"")"),490575)</f>
        <v>490575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IFERROR(__xludf.DUMMYFUNCTION("IMPORTRANGE(""https://docs.google.com/spreadsheets/d/1XL5vhW3sbDhbH9Cz0tuDiY8C3ctxq1tqvaCgkFb8cCA/edit?usp=sharing"",""อุบลราชธานี!M352"")"),203207)</f>
        <v>203207</v>
      </c>
      <c r="O457" s="169">
        <f t="shared" ca="1" si="116"/>
        <v>41.4222086327269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IFERROR(__xludf.DUMMYFUNCTION("IMPORTRANGE(""https://docs.google.com/spreadsheets/d/1XL5vhW3sbDhbH9Cz0tuDiY8C3ctxq1tqvaCgkFb8cCA/edit?usp=sharing"",""อุบลราชธานี!L354"")"),490575)</f>
        <v>490575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IFERROR(__xludf.DUMMYFUNCTION("IMPORTRANGE(""https://docs.google.com/spreadsheets/d/1XL5vhW3sbDhbH9Cz0tuDiY8C3ctxq1tqvaCgkFb8cCA/edit?usp=sharing"",""อุบลราชธานี!M354"")"),203207)</f>
        <v>203207</v>
      </c>
      <c r="O459" s="169">
        <f t="shared" ca="1" si="116"/>
        <v>41.4222086327269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IFERROR(__xludf.DUMMYFUNCTION("IMPORTRANGE(""https://docs.google.com/spreadsheets/d/1XL5vhW3sbDhbH9Cz0tuDiY8C3ctxq1tqvaCgkFb8cCA/edit?usp=sharing"",""อุบลราชธานี!M357"")"),79233)</f>
        <v>79233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IFERROR(__xludf.DUMMYFUNCTION("IMPORTRANGE(""https://docs.google.com/spreadsheets/d/1XL5vhW3sbDhbH9Cz0tuDiY8C3ctxq1tqvaCgkFb8cCA/edit?usp=sharing"",""อุบลราชธานี!M358"")"),123974)</f>
        <v>123974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IFERROR(__xludf.DUMMYFUNCTION("IMPORTRANGE(""https://docs.google.com/spreadsheets/d/1XL5vhW3sbDhbH9Cz0tuDiY8C3ctxq1tqvaCgkFb8cCA/edit?usp=sharing"",""อุบลราชธานี!J359"")"),44577)</f>
        <v>44577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IFERROR(__xludf.DUMMYFUNCTION("IMPORTRANGE(""https://docs.google.com/spreadsheets/d/1XL5vhW3sbDhbH9Cz0tuDiY8C3ctxq1tqvaCgkFb8cCA/edit?usp=sharing"",""อุบลราชธานี!J370"")"),41880)</f>
        <v>41880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IFERROR(__xludf.DUMMYFUNCTION("IMPORTRANGE(""https://docs.google.com/spreadsheets/d/1XL5vhW3sbDhbH9Cz0tuDiY8C3ctxq1tqvaCgkFb8cCA/edit?usp=sharing"",""อุบลราชธานี!J371"")"),5577)</f>
        <v>5577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IFERROR(__xludf.DUMMYFUNCTION("IMPORTRANGE(""https://docs.google.com/spreadsheets/d/1XL5vhW3sbDhbH9Cz0tuDiY8C3ctxq1tqvaCgkFb8cCA/edit?usp=sharing"",""อุบลราชธานี!J372"")"),1375)</f>
        <v>1375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IFERROR(__xludf.DUMMYFUNCTION("IMPORTRANGE(""https://docs.google.com/spreadsheets/d/1XL5vhW3sbDhbH9Cz0tuDiY8C3ctxq1tqvaCgkFb8cCA/edit?usp=sharing"",""อุบลราชธานี!J373"")"),110)</f>
        <v>110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IFERROR(__xludf.DUMMYFUNCTION("IMPORTRANGE(""https://docs.google.com/spreadsheets/d/1XL5vhW3sbDhbH9Cz0tuDiY8C3ctxq1tqvaCgkFb8cCA/edit?usp=sharing"",""อุบลราชธานี!J374"")"),1322)</f>
        <v>1322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IFERROR(__xludf.DUMMYFUNCTION("IMPORTRANGE(""https://docs.google.com/spreadsheets/d/1XL5vhW3sbDhbH9Cz0tuDiY8C3ctxq1tqvaCgkFb8cCA/edit?usp=sharing"",""อุบลราชธานี!J375"")"),129)</f>
        <v>129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IFERROR(__xludf.DUMMYFUNCTION("IMPORTRANGE(""https://docs.google.com/spreadsheets/d/1XL5vhW3sbDhbH9Cz0tuDiY8C3ctxq1tqvaCgkFb8cCA/edit?usp=sharing"",""อุบลราชธานี!J376"")"),44577)</f>
        <v>44577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IFERROR(__xludf.DUMMYFUNCTION("IMPORTRANGE(""https://docs.google.com/spreadsheets/d/1XL5vhW3sbDhbH9Cz0tuDiY8C3ctxq1tqvaCgkFb8cCA/edit?usp=sharing"",""อุบลราชธานี!J378"")"),41880)</f>
        <v>41880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IFERROR(__xludf.DUMMYFUNCTION("IMPORTRANGE(""https://docs.google.com/spreadsheets/d/1XL5vhW3sbDhbH9Cz0tuDiY8C3ctxq1tqvaCgkFb8cCA/edit?usp=sharing"",""อุบลราชธานี!J379"")"),5577)</f>
        <v>5577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IFERROR(__xludf.DUMMYFUNCTION("IMPORTRANGE(""https://docs.google.com/spreadsheets/d/1XL5vhW3sbDhbH9Cz0tuDiY8C3ctxq1tqvaCgkFb8cCA/edit?usp=sharing"",""อุบลราชธานี!J380"")"),1375)</f>
        <v>1375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IFERROR(__xludf.DUMMYFUNCTION("IMPORTRANGE(""https://docs.google.com/spreadsheets/d/1XL5vhW3sbDhbH9Cz0tuDiY8C3ctxq1tqvaCgkFb8cCA/edit?usp=sharing"",""อุบลราชธานี!J381"")"),110)</f>
        <v>110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IFERROR(__xludf.DUMMYFUNCTION("IMPORTRANGE(""https://docs.google.com/spreadsheets/d/1XL5vhW3sbDhbH9Cz0tuDiY8C3ctxq1tqvaCgkFb8cCA/edit?usp=sharing"",""อุบลราชธานี!J382"")"),1322)</f>
        <v>1322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IFERROR(__xludf.DUMMYFUNCTION("IMPORTRANGE(""https://docs.google.com/spreadsheets/d/1XL5vhW3sbDhbH9Cz0tuDiY8C3ctxq1tqvaCgkFb8cCA/edit?usp=sharing"",""อุบลราชธานี!J383"")"),129)</f>
        <v>129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IFERROR(__xludf.DUMMYFUNCTION("IMPORTRANGE(""https://docs.google.com/spreadsheets/d/1XL5vhW3sbDhbH9Cz0tuDiY8C3ctxq1tqvaCgkFb8cCA/edit?usp=sharing"",""อุบลราชธานี!J384"")"),1322)</f>
        <v>1322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IFERROR(__xludf.DUMMYFUNCTION("IMPORTRANGE(""https://docs.google.com/spreadsheets/d/1XL5vhW3sbDhbH9Cz0tuDiY8C3ctxq1tqvaCgkFb8cCA/edit?usp=sharing"",""อุบลราชธานี!J385"")"),129)</f>
        <v>129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IFERROR(__xludf.DUMMYFUNCTION("IMPORTRANGE(""https://docs.google.com/spreadsheets/d/1XL5vhW3sbDhbH9Cz0tuDiY8C3ctxq1tqvaCgkFb8cCA/edit?usp=sharing"",""อุบลราชธานี!J392"")"),82)</f>
        <v>82</v>
      </c>
      <c r="K497" s="444">
        <f t="shared" ca="1" si="117"/>
        <v>5.998536942209217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IFERROR(__xludf.DUMMYFUNCTION("IMPORTRANGE(""https://docs.google.com/spreadsheets/d/1XL5vhW3sbDhbH9Cz0tuDiY8C3ctxq1tqvaCgkFb8cCA/edit?usp=sharing"",""อุบลราชธานี!J393"")"),82)</f>
        <v>82</v>
      </c>
      <c r="K498" s="202">
        <f t="shared" ca="1" si="117"/>
        <v>5.998536942209217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IFERROR(__xludf.DUMMYFUNCTION("IMPORTRANGE(""https://docs.google.com/spreadsheets/d/1XL5vhW3sbDhbH9Cz0tuDiY8C3ctxq1tqvaCgkFb8cCA/edit?usp=sharing"",""อุบลราชธานี!J394"")"),21)</f>
        <v>21</v>
      </c>
      <c r="K499" s="202">
        <f t="shared" ca="1" si="117"/>
        <v>7.5268817204301079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IFERROR(__xludf.DUMMYFUNCTION("IMPORTRANGE(""https://docs.google.com/spreadsheets/d/1XL5vhW3sbDhbH9Cz0tuDiY8C3ctxq1tqvaCgkFb8cCA/edit?usp=sharing"",""อุบลราชธานี!J395"")"),82)</f>
        <v>82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IFERROR(__xludf.DUMMYFUNCTION("IMPORTRANGE(""https://docs.google.com/spreadsheets/d/1XL5vhW3sbDhbH9Cz0tuDiY8C3ctxq1tqvaCgkFb8cCA/edit?usp=sharing"",""อุบลราชธานี!J396"")"),21)</f>
        <v>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IFERROR(__xludf.DUMMYFUNCTION("IMPORTRANGE(""https://docs.google.com/spreadsheets/d/1XL5vhW3sbDhbH9Cz0tuDiY8C3ctxq1tqvaCgkFb8cCA/edit?usp=sharing"",""อุบลราชธานี!J397"")"),82)</f>
        <v>82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IFERROR(__xludf.DUMMYFUNCTION("IMPORTRANGE(""https://docs.google.com/spreadsheets/d/1XL5vhW3sbDhbH9Cz0tuDiY8C3ctxq1tqvaCgkFb8cCA/edit?usp=sharing"",""อุบลราชธานี!J398"")"),21)</f>
        <v>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IFERROR(__xludf.DUMMYFUNCTION("IMPORTRANGE(""https://docs.google.com/spreadsheets/d/1XL5vhW3sbDhbH9Cz0tuDiY8C3ctxq1tqvaCgkFb8cCA/edit?usp=sharing"",""อุบลราชธานี!I420"")"),0)</f>
        <v>0</v>
      </c>
      <c r="J525" s="285">
        <f ca="1">IFERROR(__xludf.DUMMYFUNCTION("IMPORTRANGE(""https://docs.google.com/spreadsheets/d/1XL5vhW3sbDhbH9Cz0tuDiY8C3ctxq1tqvaCgkFb8cCA/edit?usp=sharing"",""อุบลราชธานี!J420"")"),0)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IFERROR(__xludf.DUMMYFUNCTION("IMPORTRANGE(""https://docs.google.com/spreadsheets/d/1XL5vhW3sbDhbH9Cz0tuDiY8C3ctxq1tqvaCgkFb8cCA/edit?usp=sharing"",""อุบลราชธานี!I421"")"),0)</f>
        <v>0</v>
      </c>
      <c r="J526" s="285">
        <f ca="1">IFERROR(__xludf.DUMMYFUNCTION("IMPORTRANGE(""https://docs.google.com/spreadsheets/d/1XL5vhW3sbDhbH9Cz0tuDiY8C3ctxq1tqvaCgkFb8cCA/edit?usp=sharing"",""อุบลราชธานี!J421"")"),0)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IFERROR(__xludf.DUMMYFUNCTION("IMPORTRANGE(""https://docs.google.com/spreadsheets/d/1XL5vhW3sbDhbH9Cz0tuDiY8C3ctxq1tqvaCgkFb8cCA/edit?usp=sharing"",""อุบลราชธานี!J446"")"),3987)</f>
        <v>3987</v>
      </c>
      <c r="K551" s="411">
        <f ca="1">IF(I551&gt;0,J551*100/I551,0)</f>
        <v>79.739999999999995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IFERROR(__xludf.DUMMYFUNCTION("IMPORTRANGE(""https://docs.google.com/spreadsheets/d/1XL5vhW3sbDhbH9Cz0tuDiY8C3ctxq1tqvaCgkFb8cCA/edit?usp=sharing"",""อุบลราชธานี!M446"")"),294495.5)</f>
        <v>294495.5</v>
      </c>
      <c r="O551" s="412">
        <f t="shared" ref="O551:O555" ca="1" si="120">+IF(L551&gt;0,N551*100/L551,0)</f>
        <v>92.029843749999998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IFERROR(__xludf.DUMMYFUNCTION("IMPORTRANGE(""https://docs.google.com/spreadsheets/d/1XL5vhW3sbDhbH9Cz0tuDiY8C3ctxq1tqvaCgkFb8cCA/edit?usp=sharing"",""อุบลราชธานี!M448"")"),294495.5)</f>
        <v>294495.5</v>
      </c>
      <c r="O553" s="169">
        <f t="shared" ca="1" si="120"/>
        <v>92.029843749999998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IFERROR(__xludf.DUMMYFUNCTION("IMPORTRANGE(""https://docs.google.com/spreadsheets/d/1XL5vhW3sbDhbH9Cz0tuDiY8C3ctxq1tqvaCgkFb8cCA/edit?usp=sharing"",""อุบลราชธานี!M450"")"),294495.5)</f>
        <v>294495.5</v>
      </c>
      <c r="O555" s="169">
        <f t="shared" ca="1" si="120"/>
        <v>92.029843749999998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IFERROR(__xludf.DUMMYFUNCTION("IMPORTRANGE(""https://docs.google.com/spreadsheets/d/1XL5vhW3sbDhbH9Cz0tuDiY8C3ctxq1tqvaCgkFb8cCA/edit?usp=sharing"",""อุบลราชธานี!M453"")"),115488)</f>
        <v>115488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IFERROR(__xludf.DUMMYFUNCTION("IMPORTRANGE(""https://docs.google.com/spreadsheets/d/1XL5vhW3sbDhbH9Cz0tuDiY8C3ctxq1tqvaCgkFb8cCA/edit?usp=sharing"",""อุบลราชธานี!M454"")"),179007.5)</f>
        <v>179007.5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IFERROR(__xludf.DUMMYFUNCTION("IMPORTRANGE(""https://docs.google.com/spreadsheets/d/1XL5vhW3sbDhbH9Cz0tuDiY8C3ctxq1tqvaCgkFb8cCA/edit?usp=sharing"",""อุบลราชธานี!J455"")"),3987)</f>
        <v>3987</v>
      </c>
      <c r="K560" s="225">
        <f t="shared" ref="K560:K561" ca="1" si="121">IF(I560&gt;0,J560*100/I560,0)</f>
        <v>79.739999999999995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IFERROR(__xludf.DUMMYFUNCTION("IMPORTRANGE(""https://docs.google.com/spreadsheets/d/1XL5vhW3sbDhbH9Cz0tuDiY8C3ctxq1tqvaCgkFb8cCA/edit?usp=sharing"",""อุบลราชธานี!J456"")"),298)</f>
        <v>298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IFERROR(__xludf.DUMMYFUNCTION("IMPORTRANGE(""https://docs.google.com/spreadsheets/d/1XL5vhW3sbDhbH9Cz0tuDiY8C3ctxq1tqvaCgkFb8cCA/edit?usp=sharing"",""อุบลราชธานี!J459"")"),12124)</f>
        <v>12124</v>
      </c>
      <c r="K564" s="372">
        <f ca="1">IF(I564&gt;0,J564*100/I564,0)</f>
        <v>168.38888888888889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IFERROR(__xludf.DUMMYFUNCTION("IMPORTRANGE(""https://docs.google.com/spreadsheets/d/1XL5vhW3sbDhbH9Cz0tuDiY8C3ctxq1tqvaCgkFb8cCA/edit?usp=sharing"",""อุบลราชธานี!M459"")"),176577)</f>
        <v>176577</v>
      </c>
      <c r="O564" s="373">
        <f t="shared" ref="O564:O568" ca="1" si="122">+IF(L564&gt;0,N564*100/L564,0)</f>
        <v>89.542089249492903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IFERROR(__xludf.DUMMYFUNCTION("IMPORTRANGE(""https://docs.google.com/spreadsheets/d/1XL5vhW3sbDhbH9Cz0tuDiY8C3ctxq1tqvaCgkFb8cCA/edit?usp=sharing"",""อุบลราชธานี!M461"")"),176577)</f>
        <v>176577</v>
      </c>
      <c r="O566" s="169">
        <f t="shared" ca="1" si="122"/>
        <v>89.542089249492903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IFERROR(__xludf.DUMMYFUNCTION("IMPORTRANGE(""https://docs.google.com/spreadsheets/d/1XL5vhW3sbDhbH9Cz0tuDiY8C3ctxq1tqvaCgkFb8cCA/edit?usp=sharing"",""อุบลราชธานี!M463"")"),176577)</f>
        <v>176577</v>
      </c>
      <c r="O568" s="169">
        <f t="shared" ca="1" si="122"/>
        <v>89.542089249492903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IFERROR(__xludf.DUMMYFUNCTION("IMPORTRANGE(""https://docs.google.com/spreadsheets/d/1XL5vhW3sbDhbH9Cz0tuDiY8C3ctxq1tqvaCgkFb8cCA/edit?usp=sharing"",""อุบลราชธานี!M466"")"),85834)</f>
        <v>85834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IFERROR(__xludf.DUMMYFUNCTION("IMPORTRANGE(""https://docs.google.com/spreadsheets/d/1XL5vhW3sbDhbH9Cz0tuDiY8C3ctxq1tqvaCgkFb8cCA/edit?usp=sharing"",""อุบลราชธานี!M467"")"),90743)</f>
        <v>90743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IFERROR(__xludf.DUMMYFUNCTION("IMPORTRANGE(""https://docs.google.com/spreadsheets/d/1XL5vhW3sbDhbH9Cz0tuDiY8C3ctxq1tqvaCgkFb8cCA/edit?usp=sharing"",""อุบลราชธานี!J468"")"),12124)</f>
        <v>12124</v>
      </c>
      <c r="K573" s="202">
        <f ca="1">IF(I573&gt;0,J573*100/I573,0)</f>
        <v>168.38888888888889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IFERROR(__xludf.DUMMYFUNCTION("IMPORTRANGE(""https://docs.google.com/spreadsheets/d/1XL5vhW3sbDhbH9Cz0tuDiY8C3ctxq1tqvaCgkFb8cCA/edit?usp=sharing"",""อุบลราชธานี!J472"")"),10999)</f>
        <v>10999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IFERROR(__xludf.DUMMYFUNCTION("IMPORTRANGE(""https://docs.google.com/spreadsheets/d/1XL5vhW3sbDhbH9Cz0tuDiY8C3ctxq1tqvaCgkFb8cCA/edit?usp=sharing"",""อุบลราชธานี!J474"")"),561)</f>
        <v>561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IFERROR(__xludf.DUMMYFUNCTION("IMPORTRANGE(""https://docs.google.com/spreadsheets/d/1XL5vhW3sbDhbH9Cz0tuDiY8C3ctxq1tqvaCgkFb8cCA/edit?usp=sharing"",""อุบลราชธานี!J475"")"),11)</f>
        <v>11</v>
      </c>
      <c r="K580" s="372">
        <f ca="1">IF(I580&gt;0,J580*100/I580,0)</f>
        <v>11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IFERROR(__xludf.DUMMYFUNCTION("IMPORTRANGE(""https://docs.google.com/spreadsheets/d/1XL5vhW3sbDhbH9Cz0tuDiY8C3ctxq1tqvaCgkFb8cCA/edit?usp=sharing"",""อุบลราชธานี!M475"")"),224792.95)</f>
        <v>224792.95</v>
      </c>
      <c r="O580" s="373">
        <f t="shared" ref="O580:O584" ca="1" si="124">+IF(L580&gt;0,N580*100/L580,0)</f>
        <v>64.577118644067795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IFERROR(__xludf.DUMMYFUNCTION("IMPORTRANGE(""https://docs.google.com/spreadsheets/d/1XL5vhW3sbDhbH9Cz0tuDiY8C3ctxq1tqvaCgkFb8cCA/edit?usp=sharing"",""อุบลราชธานี!M477"")"),224792.95)</f>
        <v>224792.95</v>
      </c>
      <c r="O582" s="169">
        <f t="shared" ca="1" si="124"/>
        <v>64.577118644067795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IFERROR(__xludf.DUMMYFUNCTION("IMPORTRANGE(""https://docs.google.com/spreadsheets/d/1XL5vhW3sbDhbH9Cz0tuDiY8C3ctxq1tqvaCgkFb8cCA/edit?usp=sharing"",""อุบลราชธานี!M479"")"),224792.95)</f>
        <v>224792.95</v>
      </c>
      <c r="O584" s="169">
        <f t="shared" ca="1" si="124"/>
        <v>64.577118644067795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IFERROR(__xludf.DUMMYFUNCTION("IMPORTRANGE(""https://docs.google.com/spreadsheets/d/1XL5vhW3sbDhbH9Cz0tuDiY8C3ctxq1tqvaCgkFb8cCA/edit?usp=sharing"",""อุบลราชธานี!M482"")"),86568)</f>
        <v>86568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IFERROR(__xludf.DUMMYFUNCTION("IMPORTRANGE(""https://docs.google.com/spreadsheets/d/1XL5vhW3sbDhbH9Cz0tuDiY8C3ctxq1tqvaCgkFb8cCA/edit?usp=sharing"",""อุบลราชธานี!M483"")"),138224.95)</f>
        <v>138224.95000000001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IFERROR(__xludf.DUMMYFUNCTION("IMPORTRANGE(""https://docs.google.com/spreadsheets/d/1XL5vhW3sbDhbH9Cz0tuDiY8C3ctxq1tqvaCgkFb8cCA/edit?usp=sharing"",""อุบลราชธานี!J484"")"),129)</f>
        <v>129</v>
      </c>
      <c r="K589" s="163">
        <f t="shared" ref="K589:K596" ca="1" si="125">IF(I589&gt;0,J589*100/I589,0)</f>
        <v>129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IFERROR(__xludf.DUMMYFUNCTION("IMPORTRANGE(""https://docs.google.com/spreadsheets/d/1XL5vhW3sbDhbH9Cz0tuDiY8C3ctxq1tqvaCgkFb8cCA/edit?usp=sharing"",""อุบลราชธานี!J485"")"),55.63)</f>
        <v>55.63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IFERROR(__xludf.DUMMYFUNCTION("IMPORTRANGE(""https://docs.google.com/spreadsheets/d/1XL5vhW3sbDhbH9Cz0tuDiY8C3ctxq1tqvaCgkFb8cCA/edit?usp=sharing"",""อุบลราชธานี!J486"")"),69)</f>
        <v>69</v>
      </c>
      <c r="K591" s="163">
        <f t="shared" ca="1" si="125"/>
        <v>69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IFERROR(__xludf.DUMMYFUNCTION("IMPORTRANGE(""https://docs.google.com/spreadsheets/d/1XL5vhW3sbDhbH9Cz0tuDiY8C3ctxq1tqvaCgkFb8cCA/edit?usp=sharing"",""อุบลราชธานี!J487"")"),28.11)</f>
        <v>28.11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IFERROR(__xludf.DUMMYFUNCTION("IMPORTRANGE(""https://docs.google.com/spreadsheets/d/1XL5vhW3sbDhbH9Cz0tuDiY8C3ctxq1tqvaCgkFb8cCA/edit?usp=sharing"",""อุบลราชธานี!J488"")"),56)</f>
        <v>56</v>
      </c>
      <c r="K593" s="163">
        <f t="shared" ca="1" si="125"/>
        <v>56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IFERROR(__xludf.DUMMYFUNCTION("IMPORTRANGE(""https://docs.google.com/spreadsheets/d/1XL5vhW3sbDhbH9Cz0tuDiY8C3ctxq1tqvaCgkFb8cCA/edit?usp=sharing"",""อุบลราชธานี!J489"")"),31.91)</f>
        <v>31.91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IFERROR(__xludf.DUMMYFUNCTION("IMPORTRANGE(""https://docs.google.com/spreadsheets/d/1XL5vhW3sbDhbH9Cz0tuDiY8C3ctxq1tqvaCgkFb8cCA/edit?usp=sharing"",""อุบลราชธานี!J490"")"),11)</f>
        <v>11</v>
      </c>
      <c r="K595" s="163">
        <f t="shared" ca="1" si="125"/>
        <v>11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IFERROR(__xludf.DUMMYFUNCTION("IMPORTRANGE(""https://docs.google.com/spreadsheets/d/1XL5vhW3sbDhbH9Cz0tuDiY8C3ctxq1tqvaCgkFb8cCA/edit?usp=sharing"",""อุบลราชธานี!J491"")"),4.12)</f>
        <v>4.12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269.45054945054943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IFERROR(__xludf.DUMMYFUNCTION("IMPORTRANGE(""https://docs.google.com/spreadsheets/d/1XL5vhW3sbDhbH9Cz0tuDiY8C3ctxq1tqvaCgkFb8cCA/edit?usp=sharing"",""อุบลราชธานี!L494"")"),4550)</f>
        <v>4550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269.45054945054943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IFERROR(__xludf.DUMMYFUNCTION("IMPORTRANGE(""https://docs.google.com/spreadsheets/d/1XL5vhW3sbDhbH9Cz0tuDiY8C3ctxq1tqvaCgkFb8cCA/edit?usp=sharing"",""อุบลราชธานี!L496"")"),4550)</f>
        <v>4550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269.45054945054943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IFERROR(__xludf.DUMMYFUNCTION("IMPORTRANGE(""https://docs.google.com/spreadsheets/d/1XL5vhW3sbDhbH9Cz0tuDiY8C3ctxq1tqvaCgkFb8cCA/edit?usp=sharing"",""อุบลราชธานี!J523"")"),5620614.26)</f>
        <v>5620614.2599999998</v>
      </c>
      <c r="K628" s="343">
        <f t="shared" ref="K628:K635" ca="1" si="129">IF(I628&gt;0,J628*100/I628,0)</f>
        <v>106.13240791153895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IFERROR(__xludf.DUMMYFUNCTION("IMPORTRANGE(""https://docs.google.com/spreadsheets/d/1XL5vhW3sbDhbH9Cz0tuDiY8C3ctxq1tqvaCgkFb8cCA/edit?usp=sharing"",""อุบลราชธานี!J524"")"),263)</f>
        <v>263</v>
      </c>
      <c r="K629" s="343">
        <f t="shared" ca="1" si="129"/>
        <v>92.280701754385959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IFERROR(__xludf.DUMMYFUNCTION("IMPORTRANGE(""https://docs.google.com/spreadsheets/d/1XL5vhW3sbDhbH9Cz0tuDiY8C3ctxq1tqvaCgkFb8cCA/edit?usp=sharing"",""อุบลราชธานี!J525"")"),925388.23)</f>
        <v>925388.23</v>
      </c>
      <c r="K630" s="343">
        <f t="shared" ca="1" si="129"/>
        <v>20.899310248720969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IFERROR(__xludf.DUMMYFUNCTION("IMPORTRANGE(""https://docs.google.com/spreadsheets/d/1XL5vhW3sbDhbH9Cz0tuDiY8C3ctxq1tqvaCgkFb8cCA/edit?usp=sharing"",""อุบลราชธานี!J526"")"),110)</f>
        <v>110</v>
      </c>
      <c r="K631" s="343">
        <f t="shared" ca="1" si="129"/>
        <v>42.145593869731798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IFERROR(__xludf.DUMMYFUNCTION("IMPORTRANGE(""https://docs.google.com/spreadsheets/d/1XL5vhW3sbDhbH9Cz0tuDiY8C3ctxq1tqvaCgkFb8cCA/edit?usp=sharing"",""อุบลราชธานี!J527"")"),468158.15)</f>
        <v>468158.15</v>
      </c>
      <c r="K632" s="343">
        <f t="shared" ca="1" si="129"/>
        <v>139.30894681145182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IFERROR(__xludf.DUMMYFUNCTION("IMPORTRANGE(""https://docs.google.com/spreadsheets/d/1XL5vhW3sbDhbH9Cz0tuDiY8C3ctxq1tqvaCgkFb8cCA/edit?usp=sharing"",""อุบลราชธานี!J528"")"),185)</f>
        <v>185</v>
      </c>
      <c r="K633" s="343">
        <f t="shared" ca="1" si="129"/>
        <v>112.12121212121212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2">
        <f ca="1">IFERROR(__xludf.DUMMYFUNCTION("IMPORTRANGE(""https://docs.google.com/spreadsheets/d/1XL5vhW3sbDhbH9Cz0tuDiY8C3ctxq1tqvaCgkFb8cCA/edit?usp=sharing"",""อุบลราชธานี!J529"")"),6480000)</f>
        <v>6480000</v>
      </c>
      <c r="K634" s="343">
        <f t="shared" ca="1" si="129"/>
        <v>83.829236739974121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IFERROR(__xludf.DUMMYFUNCTION("IMPORTRANGE(""https://docs.google.com/spreadsheets/d/1XL5vhW3sbDhbH9Cz0tuDiY8C3ctxq1tqvaCgkFb8cCA/edit?usp=sharing"",""อุบลราชธานี!J530"")"),155)</f>
        <v>155</v>
      </c>
      <c r="K635" s="486">
        <f t="shared" ca="1" si="129"/>
        <v>82.010582010582013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07"/>
      <c r="J636" s="507"/>
      <c r="K636" s="508"/>
      <c r="L636" s="509">
        <f ca="1">SUM(L637,L638)</f>
        <v>5360</v>
      </c>
      <c r="M636" s="510"/>
      <c r="N636" s="509">
        <f ca="1">SUM(N637:N638)</f>
        <v>0</v>
      </c>
      <c r="O636" s="509">
        <f t="shared" ref="O636:O640" ca="1" si="130">+IF(L636&gt;0,N636*100/L636,0)</f>
        <v>0</v>
      </c>
      <c r="P636" s="559"/>
    </row>
    <row r="637" spans="1:16" ht="21.75" customHeight="1" x14ac:dyDescent="0.3">
      <c r="A637" s="511"/>
      <c r="B637" s="512"/>
      <c r="C637" s="513" t="s">
        <v>16</v>
      </c>
      <c r="D637" s="649" t="s">
        <v>77</v>
      </c>
      <c r="E637" s="643"/>
      <c r="F637" s="643"/>
      <c r="G637" s="514" t="s">
        <v>18</v>
      </c>
      <c r="H637" s="515" t="s">
        <v>12</v>
      </c>
      <c r="I637" s="516"/>
      <c r="J637" s="517"/>
      <c r="K637" s="518"/>
      <c r="L637" s="519">
        <v>0</v>
      </c>
      <c r="M637" s="520"/>
      <c r="N637" s="521">
        <v>0</v>
      </c>
      <c r="O637" s="521">
        <f t="shared" si="130"/>
        <v>0</v>
      </c>
      <c r="P637" s="571"/>
    </row>
    <row r="638" spans="1:16" ht="21.75" customHeight="1" x14ac:dyDescent="0.3">
      <c r="A638" s="511"/>
      <c r="B638" s="512"/>
      <c r="C638" s="512"/>
      <c r="D638" s="512"/>
      <c r="E638" s="512"/>
      <c r="F638" s="512"/>
      <c r="G638" s="514" t="s">
        <v>19</v>
      </c>
      <c r="H638" s="515" t="s">
        <v>12</v>
      </c>
      <c r="I638" s="516"/>
      <c r="J638" s="517"/>
      <c r="K638" s="518"/>
      <c r="L638" s="519">
        <f ca="1">SUM(L639:L640)</f>
        <v>5360</v>
      </c>
      <c r="M638" s="520"/>
      <c r="N638" s="521">
        <f ca="1">SUM(N639:N640)</f>
        <v>0</v>
      </c>
      <c r="O638" s="521">
        <f t="shared" ca="1" si="130"/>
        <v>0</v>
      </c>
      <c r="P638" s="571"/>
    </row>
    <row r="639" spans="1:16" ht="21.75" customHeight="1" x14ac:dyDescent="0.3">
      <c r="A639" s="511"/>
      <c r="B639" s="512"/>
      <c r="C639" s="512"/>
      <c r="D639" s="512"/>
      <c r="E639" s="512"/>
      <c r="F639" s="512"/>
      <c r="G639" s="514" t="s">
        <v>21</v>
      </c>
      <c r="H639" s="515" t="s">
        <v>12</v>
      </c>
      <c r="I639" s="517"/>
      <c r="J639" s="517"/>
      <c r="K639" s="518"/>
      <c r="L639" s="521">
        <v>0</v>
      </c>
      <c r="M639" s="520"/>
      <c r="N639" s="521">
        <v>0</v>
      </c>
      <c r="O639" s="521">
        <f t="shared" si="130"/>
        <v>0</v>
      </c>
      <c r="P639" s="571"/>
    </row>
    <row r="640" spans="1:16" ht="21.75" customHeight="1" x14ac:dyDescent="0.3">
      <c r="A640" s="511"/>
      <c r="B640" s="512"/>
      <c r="C640" s="512"/>
      <c r="D640" s="512"/>
      <c r="E640" s="512"/>
      <c r="F640" s="512"/>
      <c r="G640" s="514" t="s">
        <v>22</v>
      </c>
      <c r="H640" s="515" t="s">
        <v>12</v>
      </c>
      <c r="I640" s="517"/>
      <c r="J640" s="517"/>
      <c r="K640" s="518"/>
      <c r="L640" s="521">
        <f ca="1">L648+L649+L650+L651+L661+L665+L668+L671</f>
        <v>5360</v>
      </c>
      <c r="M640" s="520"/>
      <c r="N640" s="521">
        <f ca="1">SUM(N641:N644)</f>
        <v>0</v>
      </c>
      <c r="O640" s="521">
        <f t="shared" ca="1" si="130"/>
        <v>0</v>
      </c>
      <c r="P640" s="571"/>
    </row>
    <row r="641" spans="1:16" ht="21.75" customHeight="1" x14ac:dyDescent="0.3">
      <c r="A641" s="511"/>
      <c r="B641" s="512"/>
      <c r="C641" s="512"/>
      <c r="D641" s="512"/>
      <c r="E641" s="512"/>
      <c r="F641" s="512"/>
      <c r="G641" s="514" t="s">
        <v>238</v>
      </c>
      <c r="H641" s="515" t="s">
        <v>12</v>
      </c>
      <c r="I641" s="522"/>
      <c r="J641" s="522"/>
      <c r="K641" s="523"/>
      <c r="L641" s="523"/>
      <c r="M641" s="520"/>
      <c r="N641" s="521">
        <v>0</v>
      </c>
      <c r="O641" s="523"/>
      <c r="P641" s="573"/>
    </row>
    <row r="642" spans="1:16" ht="21.75" customHeight="1" x14ac:dyDescent="0.3">
      <c r="A642" s="511"/>
      <c r="B642" s="512"/>
      <c r="C642" s="512"/>
      <c r="D642" s="512"/>
      <c r="E642" s="512"/>
      <c r="F642" s="512"/>
      <c r="G642" s="514" t="s">
        <v>239</v>
      </c>
      <c r="H642" s="515" t="s">
        <v>12</v>
      </c>
      <c r="I642" s="522"/>
      <c r="J642" s="522"/>
      <c r="K642" s="523"/>
      <c r="L642" s="523"/>
      <c r="M642" s="520"/>
      <c r="N642" s="521">
        <v>0</v>
      </c>
      <c r="O642" s="523"/>
      <c r="P642" s="573"/>
    </row>
    <row r="643" spans="1:16" ht="21.75" customHeight="1" x14ac:dyDescent="0.3">
      <c r="A643" s="511"/>
      <c r="B643" s="512"/>
      <c r="C643" s="512"/>
      <c r="D643" s="512"/>
      <c r="E643" s="512"/>
      <c r="F643" s="512"/>
      <c r="G643" s="514" t="s">
        <v>240</v>
      </c>
      <c r="H643" s="515" t="s">
        <v>12</v>
      </c>
      <c r="I643" s="522"/>
      <c r="J643" s="522"/>
      <c r="K643" s="523"/>
      <c r="L643" s="523"/>
      <c r="M643" s="520"/>
      <c r="N643" s="521">
        <v>0</v>
      </c>
      <c r="O643" s="523"/>
      <c r="P643" s="573"/>
    </row>
    <row r="644" spans="1:16" ht="21.75" customHeight="1" x14ac:dyDescent="0.3">
      <c r="A644" s="511"/>
      <c r="B644" s="512"/>
      <c r="C644" s="512"/>
      <c r="D644" s="512"/>
      <c r="E644" s="512"/>
      <c r="F644" s="512"/>
      <c r="G644" s="514" t="s">
        <v>241</v>
      </c>
      <c r="H644" s="515" t="s">
        <v>12</v>
      </c>
      <c r="I644" s="524"/>
      <c r="J644" s="522"/>
      <c r="K644" s="523"/>
      <c r="L644" s="523"/>
      <c r="M644" s="520"/>
      <c r="N644" s="521">
        <f ca="1">N648+N649+N650+N651+N661+N665+N668+N671</f>
        <v>0</v>
      </c>
      <c r="O644" s="523"/>
      <c r="P644" s="573"/>
    </row>
    <row r="645" spans="1:16" ht="21.75" customHeight="1" x14ac:dyDescent="0.3">
      <c r="A645" s="525"/>
      <c r="B645" s="526"/>
      <c r="C645" s="513" t="s">
        <v>16</v>
      </c>
      <c r="D645" s="650" t="s">
        <v>242</v>
      </c>
      <c r="E645" s="643"/>
      <c r="F645" s="643"/>
      <c r="G645" s="645"/>
      <c r="H645" s="517"/>
      <c r="I645" s="517"/>
      <c r="J645" s="517"/>
      <c r="K645" s="518"/>
      <c r="L645" s="520"/>
      <c r="M645" s="520"/>
      <c r="N645" s="520"/>
      <c r="O645" s="518"/>
      <c r="P645" s="568"/>
    </row>
    <row r="646" spans="1:16" ht="21.75" customHeight="1" x14ac:dyDescent="0.3">
      <c r="A646" s="525"/>
      <c r="B646" s="526"/>
      <c r="C646" s="526"/>
      <c r="D646" s="527">
        <v>1</v>
      </c>
      <c r="E646" s="651" t="s">
        <v>44</v>
      </c>
      <c r="F646" s="643"/>
      <c r="G646" s="645"/>
      <c r="H646" s="522"/>
      <c r="I646" s="528"/>
      <c r="J646" s="529">
        <f ca="1">IFERROR(__xludf.DUMMYFUNCTION("IMPORTRANGE(""https://docs.google.com/spreadsheets/d/1XL5vhW3sbDhbH9Cz0tuDiY8C3ctxq1tqvaCgkFb8cCA/edit#gid=346597447"",""อุบลราชธานี!J541"")"),0)</f>
        <v>0</v>
      </c>
      <c r="K646" s="518"/>
      <c r="L646" s="520"/>
      <c r="M646" s="520"/>
      <c r="N646" s="530"/>
      <c r="O646" s="518"/>
      <c r="P646" s="568"/>
    </row>
    <row r="647" spans="1:16" ht="21.75" customHeight="1" x14ac:dyDescent="0.3">
      <c r="A647" s="525"/>
      <c r="B647" s="526"/>
      <c r="C647" s="526"/>
      <c r="D647" s="531">
        <v>2</v>
      </c>
      <c r="E647" s="652" t="s">
        <v>243</v>
      </c>
      <c r="F647" s="643"/>
      <c r="G647" s="645"/>
      <c r="H647" s="522"/>
      <c r="I647" s="528"/>
      <c r="J647" s="529">
        <f ca="1">IFERROR(__xludf.DUMMYFUNCTION("IMPORTRANGE(""https://docs.google.com/spreadsheets/d/1XL5vhW3sbDhbH9Cz0tuDiY8C3ctxq1tqvaCgkFb8cCA/edit#gid=346597447"",""อุบลราชธานี!J542"")"),0)</f>
        <v>0</v>
      </c>
      <c r="K647" s="518"/>
      <c r="L647" s="520"/>
      <c r="M647" s="520"/>
      <c r="N647" s="520"/>
      <c r="O647" s="518"/>
      <c r="P647" s="568"/>
    </row>
    <row r="648" spans="1:16" ht="21.75" customHeight="1" x14ac:dyDescent="0.3">
      <c r="A648" s="511"/>
      <c r="B648" s="512"/>
      <c r="C648" s="512"/>
      <c r="D648" s="512"/>
      <c r="E648" s="512"/>
      <c r="F648" s="644" t="s">
        <v>244</v>
      </c>
      <c r="G648" s="645"/>
      <c r="H648" s="515" t="s">
        <v>122</v>
      </c>
      <c r="I648" s="532">
        <f ca="1">IFERROR(__xludf.DUMMYFUNCTION("IMPORTRANGE(""https://docs.google.com/spreadsheets/d/1XL5vhW3sbDhbH9Cz0tuDiY8C3ctxq1tqvaCgkFb8cCA/edit#gid=346597447"",""อุบลราชธานี!I543"")"),52)</f>
        <v>52</v>
      </c>
      <c r="J648" s="533">
        <f ca="1">IFERROR(__xludf.DUMMYFUNCTION("IMPORTRANGE(""https://docs.google.com/spreadsheets/d/1XL5vhW3sbDhbH9Cz0tuDiY8C3ctxq1tqvaCgkFb8cCA/edit#gid=346597447"",""อุบลราชธานี!J543"")"),0)</f>
        <v>0</v>
      </c>
      <c r="K648" s="534">
        <f t="shared" ref="K648:K651" ca="1" si="131">IF(I648&gt;0,J648*100/I648,0)</f>
        <v>0</v>
      </c>
      <c r="L648" s="521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0"/>
      <c r="N648" s="535">
        <f ca="1">IFERROR(__xludf.DUMMYFUNCTION("IMPORTRANGE(""https://docs.google.com/spreadsheets/d/1XL5vhW3sbDhbH9Cz0tuDiY8C3ctxq1tqvaCgkFb8cCA/edit#gid=346597447"",""อุบลราชธานี!M543"")"),0)</f>
        <v>0</v>
      </c>
      <c r="O648" s="534">
        <f t="shared" ref="O648:O651" ca="1" si="132">IF(L648&gt;0,N648*100/L648,0)</f>
        <v>0</v>
      </c>
      <c r="P648" s="586"/>
    </row>
    <row r="649" spans="1:16" ht="21.75" customHeight="1" x14ac:dyDescent="0.3">
      <c r="A649" s="511"/>
      <c r="B649" s="512"/>
      <c r="C649" s="512"/>
      <c r="D649" s="512"/>
      <c r="E649" s="512"/>
      <c r="F649" s="644" t="s">
        <v>245</v>
      </c>
      <c r="G649" s="645"/>
      <c r="H649" s="515" t="s">
        <v>37</v>
      </c>
      <c r="I649" s="532">
        <f ca="1">IFERROR(__xludf.DUMMYFUNCTION("IMPORTRANGE(""https://docs.google.com/spreadsheets/d/1XL5vhW3sbDhbH9Cz0tuDiY8C3ctxq1tqvaCgkFb8cCA/edit#gid=346597447"",""อุบลราชธานี!I544"")"),10)</f>
        <v>10</v>
      </c>
      <c r="J649" s="533">
        <f ca="1">IFERROR(__xludf.DUMMYFUNCTION("IMPORTRANGE(""https://docs.google.com/spreadsheets/d/1XL5vhW3sbDhbH9Cz0tuDiY8C3ctxq1tqvaCgkFb8cCA/edit#gid=346597447"",""อุบลราชธานี!J544"")"),0)</f>
        <v>0</v>
      </c>
      <c r="K649" s="534">
        <f t="shared" ca="1" si="131"/>
        <v>0</v>
      </c>
      <c r="L649" s="521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0"/>
      <c r="N649" s="535">
        <f ca="1">IFERROR(__xludf.DUMMYFUNCTION("IMPORTRANGE(""https://docs.google.com/spreadsheets/d/1XL5vhW3sbDhbH9Cz0tuDiY8C3ctxq1tqvaCgkFb8cCA/edit#gid=346597447"",""อุบลราชธานี!M544"")"),0)</f>
        <v>0</v>
      </c>
      <c r="O649" s="534">
        <f t="shared" ca="1" si="132"/>
        <v>0</v>
      </c>
      <c r="P649" s="586"/>
    </row>
    <row r="650" spans="1:16" ht="21.75" customHeight="1" x14ac:dyDescent="0.3">
      <c r="A650" s="511"/>
      <c r="B650" s="512"/>
      <c r="C650" s="512"/>
      <c r="D650" s="512"/>
      <c r="E650" s="512"/>
      <c r="F650" s="644" t="s">
        <v>246</v>
      </c>
      <c r="G650" s="645"/>
      <c r="H650" s="515" t="s">
        <v>122</v>
      </c>
      <c r="I650" s="532">
        <f ca="1">IFERROR(__xludf.DUMMYFUNCTION("IMPORTRANGE(""https://docs.google.com/spreadsheets/d/1XL5vhW3sbDhbH9Cz0tuDiY8C3ctxq1tqvaCgkFb8cCA/edit#gid=346597447"",""อุบลราชธานี!I545"")"),0)</f>
        <v>0</v>
      </c>
      <c r="J650" s="533">
        <f ca="1">IFERROR(__xludf.DUMMYFUNCTION("IMPORTRANGE(""https://docs.google.com/spreadsheets/d/1XL5vhW3sbDhbH9Cz0tuDiY8C3ctxq1tqvaCgkFb8cCA/edit#gid=346597447"",""อุบลราชธานี!J545"")"),0)</f>
        <v>0</v>
      </c>
      <c r="K650" s="534">
        <f t="shared" ca="1" si="131"/>
        <v>0</v>
      </c>
      <c r="L650" s="521">
        <f ca="1">IFERROR(__xludf.DUMMYFUNCTION("IMPORTRANGE(""https://docs.google.com/spreadsheets/d/1XL5vhW3sbDhbH9Cz0tuDiY8C3ctxq1tqvaCgkFb8cCA/edit#gid=346597447"",""อุบลราชธานี!L545"")"),0)</f>
        <v>0</v>
      </c>
      <c r="M650" s="520"/>
      <c r="N650" s="535">
        <f ca="1">IFERROR(__xludf.DUMMYFUNCTION("IMPORTRANGE(""https://docs.google.com/spreadsheets/d/1XL5vhW3sbDhbH9Cz0tuDiY8C3ctxq1tqvaCgkFb8cCA/edit#gid=346597447"",""อุบลราชธานี!M545"")"),0)</f>
        <v>0</v>
      </c>
      <c r="O650" s="534">
        <f t="shared" ca="1" si="132"/>
        <v>0</v>
      </c>
      <c r="P650" s="586"/>
    </row>
    <row r="651" spans="1:16" ht="21.75" customHeight="1" x14ac:dyDescent="0.3">
      <c r="A651" s="511"/>
      <c r="B651" s="512"/>
      <c r="C651" s="512"/>
      <c r="D651" s="512"/>
      <c r="E651" s="512"/>
      <c r="F651" s="644" t="s">
        <v>247</v>
      </c>
      <c r="G651" s="645"/>
      <c r="H651" s="515" t="s">
        <v>122</v>
      </c>
      <c r="I651" s="532">
        <f ca="1">IFERROR(__xludf.DUMMYFUNCTION("IMPORTRANGE(""https://docs.google.com/spreadsheets/d/1XL5vhW3sbDhbH9Cz0tuDiY8C3ctxq1tqvaCgkFb8cCA/edit#gid=346597447"",""อุบลราชธานี!I546"")"),0)</f>
        <v>0</v>
      </c>
      <c r="J651" s="533">
        <f ca="1">J657+J660</f>
        <v>0</v>
      </c>
      <c r="K651" s="534">
        <f t="shared" ca="1" si="131"/>
        <v>0</v>
      </c>
      <c r="L651" s="521">
        <f ca="1">IFERROR(__xludf.DUMMYFUNCTION("IMPORTRANGE(""https://docs.google.com/spreadsheets/d/1XL5vhW3sbDhbH9Cz0tuDiY8C3ctxq1tqvaCgkFb8cCA/edit#gid=346597447"",""อุบลราชธานี!L546"")"),0)</f>
        <v>0</v>
      </c>
      <c r="M651" s="520"/>
      <c r="N651" s="535">
        <f ca="1">IFERROR(__xludf.DUMMYFUNCTION("IMPORTRANGE(""https://docs.google.com/spreadsheets/d/1XL5vhW3sbDhbH9Cz0tuDiY8C3ctxq1tqvaCgkFb8cCA/edit#gid=346597447"",""อุบลราชธานี!M546"")"),0)</f>
        <v>0</v>
      </c>
      <c r="O651" s="534">
        <f t="shared" ca="1" si="132"/>
        <v>0</v>
      </c>
      <c r="P651" s="586"/>
    </row>
    <row r="652" spans="1:16" ht="21.75" customHeight="1" x14ac:dyDescent="0.3">
      <c r="A652" s="511"/>
      <c r="B652" s="512"/>
      <c r="C652" s="512"/>
      <c r="D652" s="512"/>
      <c r="E652" s="512"/>
      <c r="F652" s="512"/>
      <c r="G652" s="514" t="s">
        <v>248</v>
      </c>
      <c r="H652" s="515" t="s">
        <v>36</v>
      </c>
      <c r="I652" s="536"/>
      <c r="J652" s="529">
        <f ca="1">IFERROR(__xludf.DUMMYFUNCTION("IMPORTRANGE(""https://docs.google.com/spreadsheets/d/1XL5vhW3sbDhbH9Cz0tuDiY8C3ctxq1tqvaCgkFb8cCA/edit#gid=346597447"",""อุบลราชธานี!J547"")"),0)</f>
        <v>0</v>
      </c>
      <c r="K652" s="534"/>
      <c r="L652" s="520"/>
      <c r="M652" s="520"/>
      <c r="N652" s="520"/>
      <c r="O652" s="518"/>
      <c r="P652" s="568"/>
    </row>
    <row r="653" spans="1:16" ht="21.75" customHeight="1" x14ac:dyDescent="0.3">
      <c r="A653" s="511"/>
      <c r="B653" s="512"/>
      <c r="C653" s="512"/>
      <c r="D653" s="512"/>
      <c r="E653" s="512"/>
      <c r="F653" s="512"/>
      <c r="G653" s="522"/>
      <c r="H653" s="515" t="s">
        <v>122</v>
      </c>
      <c r="I653" s="536"/>
      <c r="J653" s="529">
        <f ca="1">IFERROR(__xludf.DUMMYFUNCTION("IMPORTRANGE(""https://docs.google.com/spreadsheets/d/1XL5vhW3sbDhbH9Cz0tuDiY8C3ctxq1tqvaCgkFb8cCA/edit#gid=346597447"",""อุบลราชธานี!J548"")"),0)</f>
        <v>0</v>
      </c>
      <c r="K653" s="534"/>
      <c r="L653" s="520"/>
      <c r="M653" s="520"/>
      <c r="N653" s="520"/>
      <c r="O653" s="518"/>
      <c r="P653" s="568"/>
    </row>
    <row r="654" spans="1:16" ht="21.75" customHeight="1" x14ac:dyDescent="0.3">
      <c r="A654" s="511"/>
      <c r="B654" s="512"/>
      <c r="C654" s="512"/>
      <c r="D654" s="512"/>
      <c r="E654" s="512"/>
      <c r="F654" s="512"/>
      <c r="G654" s="514" t="s">
        <v>249</v>
      </c>
      <c r="H654" s="517"/>
      <c r="I654" s="536"/>
      <c r="J654" s="537"/>
      <c r="K654" s="534"/>
      <c r="L654" s="520"/>
      <c r="M654" s="520"/>
      <c r="N654" s="520"/>
      <c r="O654" s="518"/>
      <c r="P654" s="568"/>
    </row>
    <row r="655" spans="1:16" ht="21.75" customHeight="1" x14ac:dyDescent="0.3">
      <c r="A655" s="511"/>
      <c r="B655" s="512"/>
      <c r="C655" s="512"/>
      <c r="D655" s="512"/>
      <c r="E655" s="512"/>
      <c r="F655" s="512"/>
      <c r="G655" s="514" t="s">
        <v>250</v>
      </c>
      <c r="H655" s="515" t="s">
        <v>37</v>
      </c>
      <c r="I655" s="536"/>
      <c r="J655" s="529">
        <f ca="1">IFERROR(__xludf.DUMMYFUNCTION("IMPORTRANGE(""https://docs.google.com/spreadsheets/d/1XL5vhW3sbDhbH9Cz0tuDiY8C3ctxq1tqvaCgkFb8cCA/edit#gid=346597447"",""อุบลราชธานี!J550"")"),0)</f>
        <v>0</v>
      </c>
      <c r="K655" s="534"/>
      <c r="L655" s="520"/>
      <c r="M655" s="520"/>
      <c r="N655" s="520"/>
      <c r="O655" s="518"/>
      <c r="P655" s="568"/>
    </row>
    <row r="656" spans="1:16" ht="21.75" customHeight="1" x14ac:dyDescent="0.3">
      <c r="A656" s="511"/>
      <c r="B656" s="512"/>
      <c r="C656" s="512"/>
      <c r="D656" s="512"/>
      <c r="E656" s="512"/>
      <c r="F656" s="512"/>
      <c r="G656" s="522"/>
      <c r="H656" s="515" t="s">
        <v>36</v>
      </c>
      <c r="I656" s="536"/>
      <c r="J656" s="529">
        <f ca="1">IFERROR(__xludf.DUMMYFUNCTION("IMPORTRANGE(""https://docs.google.com/spreadsheets/d/1XL5vhW3sbDhbH9Cz0tuDiY8C3ctxq1tqvaCgkFb8cCA/edit#gid=346597447"",""อุบลราชธานี!J551"")"),0)</f>
        <v>0</v>
      </c>
      <c r="K656" s="534"/>
      <c r="L656" s="520"/>
      <c r="M656" s="520"/>
      <c r="N656" s="520"/>
      <c r="O656" s="518"/>
      <c r="P656" s="568"/>
    </row>
    <row r="657" spans="1:16" ht="21.75" customHeight="1" x14ac:dyDescent="0.3">
      <c r="A657" s="511"/>
      <c r="B657" s="512"/>
      <c r="C657" s="512"/>
      <c r="D657" s="512"/>
      <c r="E657" s="512"/>
      <c r="F657" s="512"/>
      <c r="G657" s="522"/>
      <c r="H657" s="515" t="s">
        <v>122</v>
      </c>
      <c r="I657" s="536"/>
      <c r="J657" s="529">
        <f ca="1">IFERROR(__xludf.DUMMYFUNCTION("IMPORTRANGE(""https://docs.google.com/spreadsheets/d/1XL5vhW3sbDhbH9Cz0tuDiY8C3ctxq1tqvaCgkFb8cCA/edit#gid=346597447"",""อุบลราชธานี!J552"")"),0)</f>
        <v>0</v>
      </c>
      <c r="K657" s="534"/>
      <c r="L657" s="520"/>
      <c r="M657" s="520"/>
      <c r="N657" s="520"/>
      <c r="O657" s="518"/>
      <c r="P657" s="568"/>
    </row>
    <row r="658" spans="1:16" ht="21.75" customHeight="1" x14ac:dyDescent="0.3">
      <c r="A658" s="511"/>
      <c r="B658" s="512"/>
      <c r="C658" s="512"/>
      <c r="D658" s="512"/>
      <c r="E658" s="512"/>
      <c r="F658" s="512"/>
      <c r="G658" s="514" t="s">
        <v>251</v>
      </c>
      <c r="H658" s="515" t="s">
        <v>37</v>
      </c>
      <c r="I658" s="536"/>
      <c r="J658" s="529">
        <f ca="1">IFERROR(__xludf.DUMMYFUNCTION("IMPORTRANGE(""https://docs.google.com/spreadsheets/d/1XL5vhW3sbDhbH9Cz0tuDiY8C3ctxq1tqvaCgkFb8cCA/edit#gid=346597447"",""อุบลราชธานี!J553"")"),0)</f>
        <v>0</v>
      </c>
      <c r="K658" s="534"/>
      <c r="L658" s="520"/>
      <c r="M658" s="520"/>
      <c r="N658" s="520"/>
      <c r="O658" s="518"/>
      <c r="P658" s="568"/>
    </row>
    <row r="659" spans="1:16" ht="21.75" customHeight="1" x14ac:dyDescent="0.3">
      <c r="A659" s="511"/>
      <c r="B659" s="512"/>
      <c r="C659" s="512"/>
      <c r="D659" s="512"/>
      <c r="E659" s="512"/>
      <c r="F659" s="512"/>
      <c r="G659" s="522"/>
      <c r="H659" s="515" t="s">
        <v>36</v>
      </c>
      <c r="I659" s="536"/>
      <c r="J659" s="529">
        <f ca="1">IFERROR(__xludf.DUMMYFUNCTION("IMPORTRANGE(""https://docs.google.com/spreadsheets/d/1XL5vhW3sbDhbH9Cz0tuDiY8C3ctxq1tqvaCgkFb8cCA/edit#gid=346597447"",""อุบลราชธานี!J554"")"),0)</f>
        <v>0</v>
      </c>
      <c r="K659" s="534"/>
      <c r="L659" s="520"/>
      <c r="M659" s="520"/>
      <c r="N659" s="520"/>
      <c r="O659" s="518"/>
      <c r="P659" s="568"/>
    </row>
    <row r="660" spans="1:16" ht="21.75" customHeight="1" x14ac:dyDescent="0.3">
      <c r="A660" s="511"/>
      <c r="B660" s="512"/>
      <c r="C660" s="512"/>
      <c r="D660" s="512"/>
      <c r="E660" s="512"/>
      <c r="F660" s="512"/>
      <c r="G660" s="522"/>
      <c r="H660" s="515" t="s">
        <v>122</v>
      </c>
      <c r="I660" s="536"/>
      <c r="J660" s="529">
        <f ca="1">IFERROR(__xludf.DUMMYFUNCTION("IMPORTRANGE(""https://docs.google.com/spreadsheets/d/1XL5vhW3sbDhbH9Cz0tuDiY8C3ctxq1tqvaCgkFb8cCA/edit#gid=346597447"",""อุบลราชธานี!J555"")"),0)</f>
        <v>0</v>
      </c>
      <c r="K660" s="534"/>
      <c r="L660" s="520"/>
      <c r="M660" s="520"/>
      <c r="N660" s="520"/>
      <c r="O660" s="518"/>
      <c r="P660" s="568"/>
    </row>
    <row r="661" spans="1:16" ht="21.75" customHeight="1" x14ac:dyDescent="0.3">
      <c r="A661" s="511"/>
      <c r="B661" s="512"/>
      <c r="C661" s="512"/>
      <c r="D661" s="512"/>
      <c r="E661" s="512"/>
      <c r="F661" s="644" t="s">
        <v>252</v>
      </c>
      <c r="G661" s="645"/>
      <c r="H661" s="515" t="s">
        <v>37</v>
      </c>
      <c r="I661" s="536"/>
      <c r="J661" s="533">
        <f ca="1">IFERROR(__xludf.DUMMYFUNCTION("IMPORTRANGE(""https://docs.google.com/spreadsheets/d/1XL5vhW3sbDhbH9Cz0tuDiY8C3ctxq1tqvaCgkFb8cCA/edit#gid=346597447"",""อุบลราชธานี!J556"")"),0)</f>
        <v>0</v>
      </c>
      <c r="K661" s="534"/>
      <c r="L661" s="521">
        <f ca="1">IFERROR(__xludf.DUMMYFUNCTION("IMPORTRANGE(""https://docs.google.com/spreadsheets/d/1XL5vhW3sbDhbH9Cz0tuDiY8C3ctxq1tqvaCgkFb8cCA/edit#gid=346597447"",""อุบลราชธานี!L556"")"),0)</f>
        <v>0</v>
      </c>
      <c r="M661" s="520"/>
      <c r="N661" s="535">
        <f ca="1">IFERROR(__xludf.DUMMYFUNCTION("IMPORTRANGE(""https://docs.google.com/spreadsheets/d/1XL5vhW3sbDhbH9Cz0tuDiY8C3ctxq1tqvaCgkFb8cCA/edit#gid=346597447"",""อุบลราชธานี!M556"")"),0)</f>
        <v>0</v>
      </c>
      <c r="O661" s="534">
        <f ca="1">IF(L661&gt;0,N661*100/L661,0)</f>
        <v>0</v>
      </c>
      <c r="P661" s="586"/>
    </row>
    <row r="662" spans="1:16" ht="21.75" customHeight="1" x14ac:dyDescent="0.3">
      <c r="A662" s="511"/>
      <c r="B662" s="512"/>
      <c r="C662" s="512"/>
      <c r="D662" s="512"/>
      <c r="E662" s="512"/>
      <c r="F662" s="512"/>
      <c r="G662" s="522"/>
      <c r="H662" s="515" t="s">
        <v>36</v>
      </c>
      <c r="I662" s="536"/>
      <c r="J662" s="533">
        <f ca="1">IFERROR(__xludf.DUMMYFUNCTION("IMPORTRANGE(""https://docs.google.com/spreadsheets/d/1XL5vhW3sbDhbH9Cz0tuDiY8C3ctxq1tqvaCgkFb8cCA/edit#gid=346597447"",""อุบลราชธานี!J557"")"),0)</f>
        <v>0</v>
      </c>
      <c r="K662" s="534"/>
      <c r="L662" s="520"/>
      <c r="M662" s="520"/>
      <c r="N662" s="520"/>
      <c r="O662" s="518"/>
      <c r="P662" s="568"/>
    </row>
    <row r="663" spans="1:16" ht="21.75" customHeight="1" x14ac:dyDescent="0.3">
      <c r="A663" s="511"/>
      <c r="B663" s="512"/>
      <c r="C663" s="512"/>
      <c r="D663" s="512"/>
      <c r="E663" s="512"/>
      <c r="F663" s="512"/>
      <c r="G663" s="522"/>
      <c r="H663" s="515" t="s">
        <v>122</v>
      </c>
      <c r="I663" s="532">
        <f ca="1">IFERROR(__xludf.DUMMYFUNCTION("IMPORTRANGE(""https://docs.google.com/spreadsheets/d/1XL5vhW3sbDhbH9Cz0tuDiY8C3ctxq1tqvaCgkFb8cCA/edit#gid=346597447"",""อุบลราชธานี!I558"")"),0)</f>
        <v>0</v>
      </c>
      <c r="J663" s="533">
        <f ca="1">IFERROR(__xludf.DUMMYFUNCTION("IMPORTRANGE(""https://docs.google.com/spreadsheets/d/1XL5vhW3sbDhbH9Cz0tuDiY8C3ctxq1tqvaCgkFb8cCA/edit#gid=346597447"",""อุบลราชธานี!J558"")"),0)</f>
        <v>0</v>
      </c>
      <c r="K663" s="534">
        <f ca="1">IF(I663&gt;0,J663*100/I663,0)</f>
        <v>0</v>
      </c>
      <c r="L663" s="520"/>
      <c r="M663" s="520"/>
      <c r="N663" s="520"/>
      <c r="O663" s="518"/>
      <c r="P663" s="568"/>
    </row>
    <row r="664" spans="1:16" ht="21.75" customHeight="1" x14ac:dyDescent="0.3">
      <c r="A664" s="511"/>
      <c r="B664" s="512"/>
      <c r="C664" s="512"/>
      <c r="D664" s="512"/>
      <c r="E664" s="512"/>
      <c r="F664" s="644" t="s">
        <v>253</v>
      </c>
      <c r="G664" s="645"/>
      <c r="H664" s="517"/>
      <c r="I664" s="536"/>
      <c r="J664" s="537"/>
      <c r="K664" s="534"/>
      <c r="L664" s="520"/>
      <c r="M664" s="520"/>
      <c r="N664" s="530"/>
      <c r="O664" s="518"/>
      <c r="P664" s="568"/>
    </row>
    <row r="665" spans="1:16" ht="21.75" customHeight="1" x14ac:dyDescent="0.3">
      <c r="A665" s="511"/>
      <c r="B665" s="512"/>
      <c r="C665" s="512"/>
      <c r="D665" s="512"/>
      <c r="E665" s="512"/>
      <c r="F665" s="512"/>
      <c r="G665" s="514" t="s">
        <v>254</v>
      </c>
      <c r="H665" s="515" t="s">
        <v>37</v>
      </c>
      <c r="I665" s="532">
        <f ca="1">IFERROR(__xludf.DUMMYFUNCTION("IMPORTRANGE(""https://docs.google.com/spreadsheets/d/1XL5vhW3sbDhbH9Cz0tuDiY8C3ctxq1tqvaCgkFb8cCA/edit#gid=346597447"",""อุบลราชธานี!I560"")"),0)</f>
        <v>0</v>
      </c>
      <c r="J665" s="533">
        <f ca="1">IFERROR(__xludf.DUMMYFUNCTION("IMPORTRANGE(""https://docs.google.com/spreadsheets/d/1XL5vhW3sbDhbH9Cz0tuDiY8C3ctxq1tqvaCgkFb8cCA/edit#gid=346597447"",""อุบลราชธานี!J560"")"),0)</f>
        <v>0</v>
      </c>
      <c r="K665" s="534">
        <f ca="1">IF(I665&gt;0,J665*100/I665,0)</f>
        <v>0</v>
      </c>
      <c r="L665" s="521">
        <f ca="1">IFERROR(__xludf.DUMMYFUNCTION("IMPORTRANGE(""https://docs.google.com/spreadsheets/d/1XL5vhW3sbDhbH9Cz0tuDiY8C3ctxq1tqvaCgkFb8cCA/edit#gid=346597447"",""อุบลราชธานี!L560"")"),0)</f>
        <v>0</v>
      </c>
      <c r="M665" s="520"/>
      <c r="N665" s="535">
        <f ca="1">IFERROR(__xludf.DUMMYFUNCTION("IMPORTRANGE(""https://docs.google.com/spreadsheets/d/1XL5vhW3sbDhbH9Cz0tuDiY8C3ctxq1tqvaCgkFb8cCA/edit#gid=346597447"",""อุบลราชธานี!M560"")"),0)</f>
        <v>0</v>
      </c>
      <c r="O665" s="534">
        <f ca="1">IF(L665&gt;0,N665*100/L665,0)</f>
        <v>0</v>
      </c>
      <c r="P665" s="586"/>
    </row>
    <row r="666" spans="1:16" ht="21.75" customHeight="1" x14ac:dyDescent="0.3">
      <c r="A666" s="511"/>
      <c r="B666" s="512"/>
      <c r="C666" s="512"/>
      <c r="D666" s="512"/>
      <c r="E666" s="512"/>
      <c r="F666" s="512"/>
      <c r="G666" s="522"/>
      <c r="H666" s="515" t="s">
        <v>36</v>
      </c>
      <c r="I666" s="536"/>
      <c r="J666" s="533">
        <f ca="1">IFERROR(__xludf.DUMMYFUNCTION("IMPORTRANGE(""https://docs.google.com/spreadsheets/d/1XL5vhW3sbDhbH9Cz0tuDiY8C3ctxq1tqvaCgkFb8cCA/edit#gid=346597447"",""อุบลราชธานี!J561"")"),0)</f>
        <v>0</v>
      </c>
      <c r="K666" s="534"/>
      <c r="L666" s="520"/>
      <c r="M666" s="520"/>
      <c r="N666" s="520"/>
      <c r="O666" s="518"/>
      <c r="P666" s="568"/>
    </row>
    <row r="667" spans="1:16" ht="21.75" customHeight="1" x14ac:dyDescent="0.3">
      <c r="A667" s="511"/>
      <c r="B667" s="512"/>
      <c r="C667" s="512"/>
      <c r="D667" s="512"/>
      <c r="E667" s="512"/>
      <c r="F667" s="512"/>
      <c r="G667" s="522"/>
      <c r="H667" s="515" t="s">
        <v>122</v>
      </c>
      <c r="I667" s="536"/>
      <c r="J667" s="533">
        <f ca="1">IFERROR(__xludf.DUMMYFUNCTION("IMPORTRANGE(""https://docs.google.com/spreadsheets/d/1XL5vhW3sbDhbH9Cz0tuDiY8C3ctxq1tqvaCgkFb8cCA/edit#gid=346597447"",""อุบลราชธานี!J562"")"),0)</f>
        <v>0</v>
      </c>
      <c r="K667" s="534"/>
      <c r="L667" s="520"/>
      <c r="M667" s="520"/>
      <c r="N667" s="520"/>
      <c r="O667" s="518"/>
      <c r="P667" s="568"/>
    </row>
    <row r="668" spans="1:16" ht="21.75" customHeight="1" x14ac:dyDescent="0.3">
      <c r="A668" s="511"/>
      <c r="B668" s="512"/>
      <c r="C668" s="512"/>
      <c r="D668" s="512"/>
      <c r="E668" s="512"/>
      <c r="F668" s="512"/>
      <c r="G668" s="514" t="s">
        <v>255</v>
      </c>
      <c r="H668" s="515" t="s">
        <v>37</v>
      </c>
      <c r="I668" s="532">
        <f ca="1">IFERROR(__xludf.DUMMYFUNCTION("IMPORTRANGE(""https://docs.google.com/spreadsheets/d/1XL5vhW3sbDhbH9Cz0tuDiY8C3ctxq1tqvaCgkFb8cCA/edit#gid=346597447"",""อุบลราชธานี!I563"")"),0)</f>
        <v>0</v>
      </c>
      <c r="J668" s="533">
        <f ca="1">IFERROR(__xludf.DUMMYFUNCTION("IMPORTRANGE(""https://docs.google.com/spreadsheets/d/1XL5vhW3sbDhbH9Cz0tuDiY8C3ctxq1tqvaCgkFb8cCA/edit#gid=346597447"",""อุบลราชธานี!J563"")"),0)</f>
        <v>0</v>
      </c>
      <c r="K668" s="534">
        <f ca="1">IF(I668&gt;0,J668*100/I668,0)</f>
        <v>0</v>
      </c>
      <c r="L668" s="521">
        <f ca="1">IFERROR(__xludf.DUMMYFUNCTION("IMPORTRANGE(""https://docs.google.com/spreadsheets/d/1XL5vhW3sbDhbH9Cz0tuDiY8C3ctxq1tqvaCgkFb8cCA/edit#gid=346597447"",""อุบลราชธานี!L563"")"),0)</f>
        <v>0</v>
      </c>
      <c r="M668" s="520"/>
      <c r="N668" s="535">
        <f ca="1">IFERROR(__xludf.DUMMYFUNCTION("IMPORTRANGE(""https://docs.google.com/spreadsheets/d/1XL5vhW3sbDhbH9Cz0tuDiY8C3ctxq1tqvaCgkFb8cCA/edit#gid=346597447"",""อุบลราชธานี!M563"")"),0)</f>
        <v>0</v>
      </c>
      <c r="O668" s="534">
        <f ca="1">IF(L668&gt;0,N668*100/L668,0)</f>
        <v>0</v>
      </c>
      <c r="P668" s="586"/>
    </row>
    <row r="669" spans="1:16" ht="21.75" customHeight="1" x14ac:dyDescent="0.3">
      <c r="A669" s="511"/>
      <c r="B669" s="512"/>
      <c r="C669" s="512"/>
      <c r="D669" s="512"/>
      <c r="E669" s="512"/>
      <c r="F669" s="512"/>
      <c r="G669" s="522"/>
      <c r="H669" s="515" t="s">
        <v>36</v>
      </c>
      <c r="I669" s="536"/>
      <c r="J669" s="533">
        <f ca="1">IFERROR(__xludf.DUMMYFUNCTION("IMPORTRANGE(""https://docs.google.com/spreadsheets/d/1XL5vhW3sbDhbH9Cz0tuDiY8C3ctxq1tqvaCgkFb8cCA/edit#gid=346597447"",""อุบลราชธานี!J564"")"),0)</f>
        <v>0</v>
      </c>
      <c r="K669" s="534"/>
      <c r="L669" s="520"/>
      <c r="M669" s="520"/>
      <c r="N669" s="520"/>
      <c r="O669" s="518"/>
      <c r="P669" s="568"/>
    </row>
    <row r="670" spans="1:16" ht="21.75" customHeight="1" x14ac:dyDescent="0.3">
      <c r="A670" s="511"/>
      <c r="B670" s="512"/>
      <c r="C670" s="512"/>
      <c r="D670" s="512"/>
      <c r="E670" s="512"/>
      <c r="F670" s="512"/>
      <c r="G670" s="522"/>
      <c r="H670" s="515" t="s">
        <v>122</v>
      </c>
      <c r="I670" s="536"/>
      <c r="J670" s="533">
        <f ca="1">IFERROR(__xludf.DUMMYFUNCTION("IMPORTRANGE(""https://docs.google.com/spreadsheets/d/1XL5vhW3sbDhbH9Cz0tuDiY8C3ctxq1tqvaCgkFb8cCA/edit#gid=346597447"",""อุบลราชธานี!J565"")"),0)</f>
        <v>0</v>
      </c>
      <c r="K670" s="534"/>
      <c r="L670" s="520"/>
      <c r="M670" s="520"/>
      <c r="N670" s="520"/>
      <c r="O670" s="518"/>
      <c r="P670" s="568"/>
    </row>
    <row r="671" spans="1:16" ht="21.75" customHeight="1" x14ac:dyDescent="0.3">
      <c r="A671" s="511"/>
      <c r="B671" s="512"/>
      <c r="C671" s="512"/>
      <c r="D671" s="512"/>
      <c r="E671" s="512"/>
      <c r="F671" s="644" t="s">
        <v>256</v>
      </c>
      <c r="G671" s="645"/>
      <c r="H671" s="515" t="s">
        <v>122</v>
      </c>
      <c r="I671" s="532">
        <f ca="1">IFERROR(__xludf.DUMMYFUNCTION("IMPORTRANGE(""https://docs.google.com/spreadsheets/d/1XL5vhW3sbDhbH9Cz0tuDiY8C3ctxq1tqvaCgkFb8cCA/edit#gid=346597447"",""อุบลราชธานี!I566"")"),0)</f>
        <v>0</v>
      </c>
      <c r="J671" s="533">
        <f ca="1">J674+J677</f>
        <v>0</v>
      </c>
      <c r="K671" s="534">
        <f ca="1">IF(I671&gt;0,J671*100/I671,0)</f>
        <v>0</v>
      </c>
      <c r="L671" s="521">
        <f ca="1">IFERROR(__xludf.DUMMYFUNCTION("IMPORTRANGE(""https://docs.google.com/spreadsheets/d/1XL5vhW3sbDhbH9Cz0tuDiY8C3ctxq1tqvaCgkFb8cCA/edit#gid=346597447"",""อุบลราชธานี!L566"")"),0)</f>
        <v>0</v>
      </c>
      <c r="M671" s="520"/>
      <c r="N671" s="535">
        <f ca="1">IFERROR(__xludf.DUMMYFUNCTION("IMPORTRANGE(""https://docs.google.com/spreadsheets/d/1XL5vhW3sbDhbH9Cz0tuDiY8C3ctxq1tqvaCgkFb8cCA/edit#gid=346597447"",""อุบลราชธานี!M566"")"),0)</f>
        <v>0</v>
      </c>
      <c r="O671" s="534">
        <f ca="1">IF(L671&gt;0,N671*100/L671,0)</f>
        <v>0</v>
      </c>
      <c r="P671" s="586"/>
    </row>
    <row r="672" spans="1:16" ht="21.75" customHeight="1" x14ac:dyDescent="0.3">
      <c r="A672" s="511"/>
      <c r="B672" s="512"/>
      <c r="C672" s="512"/>
      <c r="D672" s="512"/>
      <c r="E672" s="512"/>
      <c r="F672" s="512"/>
      <c r="G672" s="514" t="s">
        <v>257</v>
      </c>
      <c r="H672" s="515" t="s">
        <v>37</v>
      </c>
      <c r="I672" s="536"/>
      <c r="J672" s="529">
        <f ca="1">IFERROR(__xludf.DUMMYFUNCTION("IMPORTRANGE(""https://docs.google.com/spreadsheets/d/1XL5vhW3sbDhbH9Cz0tuDiY8C3ctxq1tqvaCgkFb8cCA/edit#gid=346597447"",""อุบลราชธานี!J567"")"),0)</f>
        <v>0</v>
      </c>
      <c r="K672" s="534"/>
      <c r="L672" s="520"/>
      <c r="M672" s="520"/>
      <c r="N672" s="520"/>
      <c r="O672" s="518"/>
      <c r="P672" s="568"/>
    </row>
    <row r="673" spans="1:16" ht="21.75" customHeight="1" x14ac:dyDescent="0.3">
      <c r="A673" s="511"/>
      <c r="B673" s="512"/>
      <c r="C673" s="512"/>
      <c r="D673" s="512"/>
      <c r="E673" s="512"/>
      <c r="F673" s="512"/>
      <c r="G673" s="522"/>
      <c r="H673" s="515" t="s">
        <v>36</v>
      </c>
      <c r="I673" s="536"/>
      <c r="J673" s="529">
        <f ca="1">IFERROR(__xludf.DUMMYFUNCTION("IMPORTRANGE(""https://docs.google.com/spreadsheets/d/1XL5vhW3sbDhbH9Cz0tuDiY8C3ctxq1tqvaCgkFb8cCA/edit#gid=346597447"",""อุบลราชธานี!J568"")"),0)</f>
        <v>0</v>
      </c>
      <c r="K673" s="534"/>
      <c r="L673" s="520"/>
      <c r="M673" s="520"/>
      <c r="N673" s="520"/>
      <c r="O673" s="518"/>
      <c r="P673" s="568"/>
    </row>
    <row r="674" spans="1:16" ht="21.75" customHeight="1" x14ac:dyDescent="0.3">
      <c r="A674" s="511"/>
      <c r="B674" s="512"/>
      <c r="C674" s="512"/>
      <c r="D674" s="512"/>
      <c r="E674" s="512"/>
      <c r="F674" s="512"/>
      <c r="G674" s="522"/>
      <c r="H674" s="515" t="s">
        <v>122</v>
      </c>
      <c r="I674" s="536"/>
      <c r="J674" s="529">
        <f ca="1">IFERROR(__xludf.DUMMYFUNCTION("IMPORTRANGE(""https://docs.google.com/spreadsheets/d/1XL5vhW3sbDhbH9Cz0tuDiY8C3ctxq1tqvaCgkFb8cCA/edit#gid=346597447"",""อุบลราชธานี!J569"")"),0)</f>
        <v>0</v>
      </c>
      <c r="K674" s="534"/>
      <c r="L674" s="520"/>
      <c r="M674" s="520"/>
      <c r="N674" s="520"/>
      <c r="O674" s="518"/>
      <c r="P674" s="568"/>
    </row>
    <row r="675" spans="1:16" ht="21.75" customHeight="1" x14ac:dyDescent="0.3">
      <c r="A675" s="511"/>
      <c r="B675" s="512"/>
      <c r="C675" s="512"/>
      <c r="D675" s="512"/>
      <c r="E675" s="512"/>
      <c r="F675" s="512"/>
      <c r="G675" s="514" t="s">
        <v>258</v>
      </c>
      <c r="H675" s="515" t="s">
        <v>37</v>
      </c>
      <c r="I675" s="536"/>
      <c r="J675" s="529">
        <f ca="1">IFERROR(__xludf.DUMMYFUNCTION("IMPORTRANGE(""https://docs.google.com/spreadsheets/d/1XL5vhW3sbDhbH9Cz0tuDiY8C3ctxq1tqvaCgkFb8cCA/edit#gid=346597447"",""อุบลราชธานี!J570"")"),0)</f>
        <v>0</v>
      </c>
      <c r="K675" s="534"/>
      <c r="L675" s="520"/>
      <c r="M675" s="520"/>
      <c r="N675" s="520"/>
      <c r="O675" s="518"/>
      <c r="P675" s="568"/>
    </row>
    <row r="676" spans="1:16" ht="21.75" customHeight="1" x14ac:dyDescent="0.3">
      <c r="A676" s="511"/>
      <c r="B676" s="512"/>
      <c r="C676" s="512"/>
      <c r="D676" s="512"/>
      <c r="E676" s="512"/>
      <c r="F676" s="512"/>
      <c r="G676" s="522"/>
      <c r="H676" s="515" t="s">
        <v>36</v>
      </c>
      <c r="I676" s="536"/>
      <c r="J676" s="529">
        <f ca="1">IFERROR(__xludf.DUMMYFUNCTION("IMPORTRANGE(""https://docs.google.com/spreadsheets/d/1XL5vhW3sbDhbH9Cz0tuDiY8C3ctxq1tqvaCgkFb8cCA/edit#gid=346597447"",""อุบลราชธานี!J571"")"),0)</f>
        <v>0</v>
      </c>
      <c r="K676" s="534"/>
      <c r="L676" s="520"/>
      <c r="M676" s="520"/>
      <c r="N676" s="520"/>
      <c r="O676" s="518"/>
      <c r="P676" s="568"/>
    </row>
    <row r="677" spans="1:16" ht="21.75" customHeight="1" x14ac:dyDescent="0.3">
      <c r="A677" s="538"/>
      <c r="B677" s="539" t="s">
        <v>259</v>
      </c>
      <c r="C677" s="540"/>
      <c r="D677" s="540"/>
      <c r="E677" s="540"/>
      <c r="F677" s="540"/>
      <c r="G677" s="541"/>
      <c r="H677" s="542" t="s">
        <v>122</v>
      </c>
      <c r="I677" s="543"/>
      <c r="J677" s="544">
        <f ca="1">IFERROR(__xludf.DUMMYFUNCTION("IMPORTRANGE(""https://docs.google.com/spreadsheets/d/1XL5vhW3sbDhbH9Cz0tuDiY8C3ctxq1tqvaCgkFb8cCA/edit#gid=346597447"",""อุบลราชธานี!J572"")"),0)</f>
        <v>0</v>
      </c>
      <c r="K677" s="545"/>
      <c r="L677" s="546"/>
      <c r="M677" s="546"/>
      <c r="N677" s="546"/>
      <c r="O677" s="545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7040271</v>
      </c>
      <c r="M8" s="23">
        <f t="shared" ca="1" si="0"/>
        <v>3459284</v>
      </c>
      <c r="N8" s="23">
        <f t="shared" ca="1" si="0"/>
        <v>4459424.22</v>
      </c>
      <c r="O8" s="22">
        <f t="shared" ref="O8:O16" ca="1" si="1">IF(L8&gt;0,N8*100/L8,0)</f>
        <v>63.341655740240682</v>
      </c>
      <c r="P8" s="22">
        <f t="shared" ref="P8:P16" ca="1" si="2">IF(M8&gt;0,N8*100/M8,0)</f>
        <v>128.91176960318955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7040271</v>
      </c>
      <c r="M10" s="30">
        <f t="shared" ca="1" si="4"/>
        <v>3459284</v>
      </c>
      <c r="N10" s="30">
        <f t="shared" ca="1" si="4"/>
        <v>4459424.22</v>
      </c>
      <c r="O10" s="29">
        <f t="shared" ca="1" si="1"/>
        <v>63.341655740240682</v>
      </c>
      <c r="P10" s="29">
        <f t="shared" ca="1" si="2"/>
        <v>128.91176960318955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6790871</v>
      </c>
      <c r="M12" s="38">
        <f t="shared" ca="1" si="6"/>
        <v>3209884</v>
      </c>
      <c r="N12" s="38">
        <f t="shared" ca="1" si="6"/>
        <v>4210024.22</v>
      </c>
      <c r="O12" s="38">
        <f t="shared" ca="1" si="1"/>
        <v>61.995349639243628</v>
      </c>
      <c r="P12" s="38">
        <f t="shared" ca="1" si="2"/>
        <v>131.15814216339282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4205371</v>
      </c>
      <c r="M14" s="38">
        <f t="shared" si="8"/>
        <v>0</v>
      </c>
      <c r="N14" s="38">
        <f t="shared" ca="1" si="8"/>
        <v>1255129.7699999998</v>
      </c>
      <c r="O14" s="38">
        <f t="shared" ca="1" si="1"/>
        <v>29.845874953719893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4308350</v>
      </c>
      <c r="M18" s="23">
        <f t="shared" ca="1" si="11"/>
        <v>3459284</v>
      </c>
      <c r="N18" s="23">
        <f t="shared" ca="1" si="11"/>
        <v>3204294.45</v>
      </c>
      <c r="O18" s="22">
        <f t="shared" ref="O18:O20" ca="1" si="12">IF(L18&gt;0,N18*100/L18,0)</f>
        <v>74.374051551057832</v>
      </c>
      <c r="P18" s="22">
        <f t="shared" ref="P18:P26" ca="1" si="13">IF(M18&gt;0,N18*100/M18,0)</f>
        <v>92.628834464010467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4308350</v>
      </c>
      <c r="M20" s="30">
        <f t="shared" ca="1" si="15"/>
        <v>3459284</v>
      </c>
      <c r="N20" s="30">
        <f t="shared" ca="1" si="15"/>
        <v>3204294.45</v>
      </c>
      <c r="O20" s="29">
        <f t="shared" ca="1" si="12"/>
        <v>74.374051551057832</v>
      </c>
      <c r="P20" s="29">
        <f t="shared" ca="1" si="13"/>
        <v>92.628834464010467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4058950</v>
      </c>
      <c r="M22" s="41">
        <f t="shared" ca="1" si="18"/>
        <v>3209884</v>
      </c>
      <c r="N22" s="38">
        <f t="shared" ca="1" si="18"/>
        <v>2954894.45</v>
      </c>
      <c r="O22" s="38">
        <f t="shared" ca="1" si="17"/>
        <v>72.799478929279744</v>
      </c>
      <c r="P22" s="38">
        <f t="shared" ca="1" si="13"/>
        <v>92.056113242721537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1473450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2731921</v>
      </c>
      <c r="M28" s="23">
        <f t="shared" si="23"/>
        <v>0</v>
      </c>
      <c r="N28" s="23">
        <f t="shared" ca="1" si="23"/>
        <v>1255129.7699999998</v>
      </c>
      <c r="O28" s="22">
        <f t="shared" ref="O28:O30" ca="1" si="24">IF(L28&gt;0,N28*100/L28,0)</f>
        <v>45.94312097604579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2731921</v>
      </c>
      <c r="M30" s="30">
        <f t="shared" si="27"/>
        <v>0</v>
      </c>
      <c r="N30" s="30">
        <f t="shared" ca="1" si="27"/>
        <v>1255129.7699999998</v>
      </c>
      <c r="O30" s="29">
        <f t="shared" ca="1" si="24"/>
        <v>45.94312097604579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2731921</v>
      </c>
      <c r="M32" s="38">
        <f t="shared" si="30"/>
        <v>0</v>
      </c>
      <c r="N32" s="38">
        <f t="shared" ca="1" si="30"/>
        <v>1255129.7699999998</v>
      </c>
      <c r="O32" s="38">
        <f t="shared" ca="1" si="29"/>
        <v>45.94312097604579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2731921</v>
      </c>
      <c r="M34" s="38">
        <f t="shared" si="32"/>
        <v>0</v>
      </c>
      <c r="N34" s="38">
        <f t="shared" ca="1" si="32"/>
        <v>1255129.7699999998</v>
      </c>
      <c r="O34" s="38">
        <f t="shared" ca="1" si="29"/>
        <v>45.94312097604579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4308350</v>
      </c>
      <c r="M37" s="54">
        <f t="shared" ca="1" si="33"/>
        <v>3459284</v>
      </c>
      <c r="N37" s="54">
        <f t="shared" ca="1" si="33"/>
        <v>3204294.45</v>
      </c>
      <c r="O37" s="55">
        <f t="shared" ca="1" si="29"/>
        <v>74.374051551057832</v>
      </c>
      <c r="P37" s="55">
        <f t="shared" ca="1" si="25"/>
        <v>92.628834464010467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666600</v>
      </c>
      <c r="N41" s="78">
        <f t="shared" ca="1" si="34"/>
        <v>649359.29</v>
      </c>
      <c r="O41" s="77">
        <f t="shared" ref="O41:O43" ca="1" si="35">IF(L41&gt;0,N41*100/L41,0)</f>
        <v>73.060226147614756</v>
      </c>
      <c r="P41" s="77">
        <f t="shared" ref="P41:P43" ca="1" si="36">IF(M41&gt;0,N41*100/M41,0)</f>
        <v>97.413634863486351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666600</v>
      </c>
      <c r="N43" s="78">
        <f t="shared" ca="1" si="38"/>
        <v>649359.29</v>
      </c>
      <c r="O43" s="77">
        <f t="shared" ca="1" si="35"/>
        <v>73.060226147614756</v>
      </c>
      <c r="P43" s="77">
        <f t="shared" ca="1" si="36"/>
        <v>97.413634863486351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IFERROR(__xludf.DUMMYFUNCTION("IMPORTRANGE(""https://docs.google.com/spreadsheets/d/1Yj_ptqi66GCucihVvJfMjLAmec39IyEx_6qawtMGysU/edit?usp=sharing"",""สบก!Q39"")"),666600)</f>
        <v>666600</v>
      </c>
      <c r="N45" s="49">
        <f ca="1">IFERROR(__xludf.DUMMYFUNCTION("IMPORTRANGE(""https://docs.google.com/spreadsheets/d/1Yj_ptqi66GCucihVvJfMjLAmec39IyEx_6qawtMGysU/edit?usp=sharing"",""สบก!R39"")"),649359.29)</f>
        <v>649359.29</v>
      </c>
      <c r="O45" s="38">
        <f ca="1">IF(L45&gt;0,N45*100/L45,0)</f>
        <v>73.060226147614756</v>
      </c>
      <c r="P45" s="38">
        <f ca="1">IF(M45&gt;0,N45*100/M45,0)</f>
        <v>97.413634863486351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563904</v>
      </c>
      <c r="N53" s="121">
        <f t="shared" ca="1" si="39"/>
        <v>554939</v>
      </c>
      <c r="O53" s="120">
        <f t="shared" ref="O53:O55" ca="1" si="40">IF(L53&gt;0,N53*100/L53,0)</f>
        <v>76.437878787878788</v>
      </c>
      <c r="P53" s="120">
        <f t="shared" ref="P53:P55" ca="1" si="41">IF(M53&gt;0,N53*100/M53,0)</f>
        <v>98.410190387016229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563904</v>
      </c>
      <c r="N55" s="121">
        <f t="shared" ca="1" si="43"/>
        <v>554939</v>
      </c>
      <c r="O55" s="120">
        <f t="shared" ca="1" si="40"/>
        <v>76.437878787878788</v>
      </c>
      <c r="P55" s="120">
        <f t="shared" ca="1" si="41"/>
        <v>98.410190387016229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IFERROR(__xludf.DUMMYFUNCTION("IMPORTRANGE(""https://docs.google.com/spreadsheets/d/1Yj_ptqi66GCucihVvJfMjLAmec39IyEx_6qawtMGysU/edit?usp=sharing"",""สบก!Z39"")"),563904)</f>
        <v>563904</v>
      </c>
      <c r="N57" s="49">
        <f ca="1">IFERROR(__xludf.DUMMYFUNCTION("IMPORTRANGE(""https://docs.google.com/spreadsheets/d/1Yj_ptqi66GCucihVvJfMjLAmec39IyEx_6qawtMGysU/edit?usp=sharing"",""สบก!AA39"")"),554939)</f>
        <v>554939</v>
      </c>
      <c r="O57" s="38">
        <f ca="1">IF(L57&gt;0,N57*100/L57,0)</f>
        <v>76.437878787878788</v>
      </c>
      <c r="P57" s="38">
        <f ca="1">IF(M57&gt;0,N57*100/M57,0)</f>
        <v>98.410190387016229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872320</v>
      </c>
      <c r="N66" s="152">
        <f t="shared" ca="1" si="45"/>
        <v>810190</v>
      </c>
      <c r="O66" s="151">
        <f t="shared" ref="O66:O68" ca="1" si="46">IF(L66&gt;0,N66*100/L66,0)</f>
        <v>76.992302575311228</v>
      </c>
      <c r="P66" s="151">
        <f t="shared" ref="P66:P68" ca="1" si="47">IF(M66&gt;0,N66*100/M66,0)</f>
        <v>92.877613719735876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872320</v>
      </c>
      <c r="N68" s="157">
        <f t="shared" ca="1" si="49"/>
        <v>810190</v>
      </c>
      <c r="O68" s="156">
        <f t="shared" ca="1" si="46"/>
        <v>76.992302575311228</v>
      </c>
      <c r="P68" s="156">
        <f t="shared" ca="1" si="47"/>
        <v>92.877613719735876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912300</v>
      </c>
      <c r="M70" s="168">
        <f ca="1">IFERROR(__xludf.DUMMYFUNCTION("IMPORTRANGE(""https://docs.google.com/spreadsheets/d/1Yj_ptqi66GCucihVvJfMjLAmec39IyEx_6qawtMGysU/edit?usp=sharing"",""สบก!AI39"")"),732320)</f>
        <v>732320</v>
      </c>
      <c r="N70" s="169">
        <f ca="1">IFERROR(__xludf.DUMMYFUNCTION("IMPORTRANGE(""https://docs.google.com/spreadsheets/d/1Yj_ptqi66GCucihVvJfMjLAmec39IyEx_6qawtMGysU/edit?usp=sharing"",""สบก!AJ39"")"),670190)</f>
        <v>670190</v>
      </c>
      <c r="O70" s="169">
        <f ca="1">IF(L70&gt;0,N70*100/L70,0)</f>
        <v>73.461580620409947</v>
      </c>
      <c r="P70" s="169">
        <f ca="1">IF(M70&gt;0,N70*100/M70,0)</f>
        <v>91.516003932707008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IFERROR(__xludf.DUMMYFUNCTION("IMPORTRANGE(""https://docs.google.com/spreadsheets/d/1Yj_ptqi66GCucihVvJfMjLAmec39IyEx_6qawtMGysU/edit?usp=sharing"",""สบก!AF39"")"),442000)</f>
        <v>442000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122670</v>
      </c>
      <c r="O94" s="151">
        <f t="shared" ref="O94:O96" ca="1" si="53">IF(L94&gt;0,N94*100/L94,0)</f>
        <v>57.188811188811187</v>
      </c>
      <c r="P94" s="151">
        <f t="shared" ref="P94:P96" ca="1" si="54">IF(M94&gt;0,N94*100/M94,0)</f>
        <v>63.084004011210823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122670</v>
      </c>
      <c r="O96" s="156">
        <f t="shared" ca="1" si="53"/>
        <v>57.188811188811187</v>
      </c>
      <c r="P96" s="156">
        <f t="shared" ca="1" si="54"/>
        <v>63.084004011210823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IFERROR(__xludf.DUMMYFUNCTION("IMPORTRANGE(""https://docs.google.com/spreadsheets/d/1Yj_ptqi66GCucihVvJfMjLAmec39IyEx_6qawtMGysU/edit?usp=sharing"",""สบก!AR39"")"),102055)</f>
        <v>102055</v>
      </c>
      <c r="N98" s="169">
        <f ca="1">IFERROR(__xludf.DUMMYFUNCTION("IMPORTRANGE(""https://docs.google.com/spreadsheets/d/1Yj_ptqi66GCucihVvJfMjLAmec39IyEx_6qawtMGysU/edit?usp=sharing"",""สบก!AS39"")"),30270)</f>
        <v>30270</v>
      </c>
      <c r="O98" s="169">
        <f ca="1">IF(L98&gt;0,N98*100/L98,0)</f>
        <v>24.791154791154792</v>
      </c>
      <c r="P98" s="169">
        <f ca="1">IF(M98&gt;0,N98*100/M98,0)</f>
        <v>29.660477193670079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IFERROR(__xludf.DUMMYFUNCTION("IMPORTRANGE(""https://docs.google.com/spreadsheets/d/1Yj_ptqi66GCucihVvJfMjLAmec39IyEx_6qawtMGysU/edit?usp=sharing"",""สบก!BA39"")"),0)</f>
        <v>0</v>
      </c>
      <c r="N122" s="169">
        <f ca="1">IFERROR(__xludf.DUMMYFUNCTION("IMPORTRANGE(""https://docs.google.com/spreadsheets/d/1Yj_ptqi66GCucihVvJfMjLAmec39IyEx_6qawtMGysU/edit?usp=sharing"",""สบก!BB39"")"),0)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69000</v>
      </c>
      <c r="M140" s="152">
        <f t="shared" ca="1" si="64"/>
        <v>55625</v>
      </c>
      <c r="N140" s="152">
        <f t="shared" ca="1" si="64"/>
        <v>51591.5</v>
      </c>
      <c r="O140" s="151">
        <f t="shared" ref="O140:O142" ca="1" si="65">IF(L140&gt;0,N140*100/L140,0)</f>
        <v>74.770289855072463</v>
      </c>
      <c r="P140" s="151">
        <f t="shared" ref="P140:P142" ca="1" si="66">IF(M140&gt;0,N140*100/M140,0)</f>
        <v>92.748764044943826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69000</v>
      </c>
      <c r="M142" s="157">
        <f t="shared" ca="1" si="68"/>
        <v>55625</v>
      </c>
      <c r="N142" s="157">
        <f t="shared" ca="1" si="68"/>
        <v>51591.5</v>
      </c>
      <c r="O142" s="156">
        <f t="shared" ca="1" si="65"/>
        <v>74.770289855072463</v>
      </c>
      <c r="P142" s="156">
        <f t="shared" ca="1" si="66"/>
        <v>92.748764044943826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69000</v>
      </c>
      <c r="M144" s="168">
        <f ca="1">IFERROR(__xludf.DUMMYFUNCTION("IMPORTRANGE(""https://docs.google.com/spreadsheets/d/1Yj_ptqi66GCucihVvJfMjLAmec39IyEx_6qawtMGysU/edit?usp=sharing"",""สบก!BJ39"")"),55625)</f>
        <v>55625</v>
      </c>
      <c r="N144" s="169">
        <f ca="1">IFERROR(__xludf.DUMMYFUNCTION("IMPORTRANGE(""https://docs.google.com/spreadsheets/d/1Yj_ptqi66GCucihVvJfMjLAmec39IyEx_6qawtMGysU/edit?usp=sharing"",""สบก!BK39"")"),51591.5)</f>
        <v>51591.5</v>
      </c>
      <c r="O144" s="169">
        <f ca="1">IF(L144&gt;0,N144*100/L144,0)</f>
        <v>74.770289855072463</v>
      </c>
      <c r="P144" s="169">
        <f ca="1">IF(M144&gt;0,N144*100/M144,0)</f>
        <v>92.748764044943826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IFERROR(__xludf.DUMMYFUNCTION("IMPORTRANGE(""https://docs.google.com/spreadsheets/d/1Yj_ptqi66GCucihVvJfMjLAmec39IyEx_6qawtMGysU/edit?usp=sharing"",""สบก!BG39"")"),69000)</f>
        <v>69000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IFERROR(__xludf.DUMMYFUNCTION("IMPORTRANGE(""https://docs.google.com/spreadsheets/d/1Yj_ptqi66GCucihVvJfMjLAmec39IyEx_6qawtMGysU/edit?usp=sharing"",""สบก!CK39"")"),32250)</f>
        <v>32250</v>
      </c>
      <c r="N275" s="169">
        <f ca="1">IFERROR(__xludf.DUMMYFUNCTION("IMPORTRANGE(""https://docs.google.com/spreadsheets/d/1Yj_ptqi66GCucihVvJfMjLAmec39IyEx_6qawtMGysU/edit?usp=sharing"",""สบก!CL39"")"),29120)</f>
        <v>29120</v>
      </c>
      <c r="O275" s="169">
        <f ca="1">IF(L275&gt;0,N275*100/L275,0)</f>
        <v>52.753623188405797</v>
      </c>
      <c r="P275" s="169">
        <f ca="1">IF(M275&gt;0,N275*100/M275,0)</f>
        <v>90.294573643410857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IFERROR(__xludf.DUMMYFUNCTION("IMPORTRANGE(""https://docs.google.com/spreadsheets/d/1XL5vhW3sbDhbH9Cz0tuDiY8C3ctxq1tqvaCgkFb8cCA/edit?usp=sharing"",""ขอนแก่น!J228"")"),589)</f>
        <v>589</v>
      </c>
      <c r="K328" s="318">
        <f ca="1">IF(I328&gt;0,J328*100/I328,0)</f>
        <v>73.625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1057580</v>
      </c>
      <c r="N329" s="152">
        <f t="shared" ca="1" si="98"/>
        <v>969874.66</v>
      </c>
      <c r="O329" s="151">
        <f t="shared" ref="O329:O331" ca="1" si="99">IF(L329&gt;0,N329*100/L329,0)</f>
        <v>75.41793623639191</v>
      </c>
      <c r="P329" s="151">
        <f t="shared" ref="P329:P331" ca="1" si="100">IF(M329&gt;0,N329*100/M329,0)</f>
        <v>91.706978195502941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1057580</v>
      </c>
      <c r="N331" s="157">
        <f t="shared" ca="1" si="102"/>
        <v>969874.66</v>
      </c>
      <c r="O331" s="156">
        <f t="shared" ca="1" si="99"/>
        <v>75.41793623639191</v>
      </c>
      <c r="P331" s="156">
        <f t="shared" ca="1" si="100"/>
        <v>91.706978195502941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IFERROR(__xludf.DUMMYFUNCTION("IMPORTRANGE(""https://docs.google.com/spreadsheets/d/1Yj_ptqi66GCucihVvJfMjLAmec39IyEx_6qawtMGysU/edit?usp=sharing"",""สบก!DL39"")"),1040580)</f>
        <v>1040580</v>
      </c>
      <c r="N333" s="169">
        <f ca="1">IFERROR(__xludf.DUMMYFUNCTION("IMPORTRANGE(""https://docs.google.com/spreadsheets/d/1Yj_ptqi66GCucihVvJfMjLAmec39IyEx_6qawtMGysU/edit?usp=sharing"",""สบก!DM39"")"),952874.66)</f>
        <v>952874.66</v>
      </c>
      <c r="O333" s="169">
        <f ca="1">IF(L333&gt;0,N333*100/L333,0)</f>
        <v>75.088625689519304</v>
      </c>
      <c r="P333" s="169">
        <f ca="1">IF(M333&gt;0,N333*100/M333,0)</f>
        <v>91.571494743316222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IFERROR(__xludf.DUMMYFUNCTION("IMPORTRANGE(""https://docs.google.com/spreadsheets/d/1XL5vhW3sbDhbH9Cz0tuDiY8C3ctxq1tqvaCgkFb8cCA/edit?usp=sharing"",""ขอนแก่น!J234"")"),292)</f>
        <v>292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IFERROR(__xludf.DUMMYFUNCTION("IMPORTRANGE(""https://docs.google.com/spreadsheets/d/1XL5vhW3sbDhbH9Cz0tuDiY8C3ctxq1tqvaCgkFb8cCA/edit?usp=sharing"",""ขอนแก่น!J235"")"),2537.71)</f>
        <v>2537.71</v>
      </c>
      <c r="K340" s="343">
        <f t="shared" ca="1" si="103"/>
        <v>56.393555555555558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IFERROR(__xludf.DUMMYFUNCTION("IMPORTRANGE(""https://docs.google.com/spreadsheets/d/1XL5vhW3sbDhbH9Cz0tuDiY8C3ctxq1tqvaCgkFb8cCA/edit?usp=sharing"",""ขอนแก่น!J236"")"),608)</f>
        <v>608</v>
      </c>
      <c r="K341" s="343">
        <f t="shared" ca="1" si="103"/>
        <v>76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IFERROR(__xludf.DUMMYFUNCTION("IMPORTRANGE(""https://docs.google.com/spreadsheets/d/1XL5vhW3sbDhbH9Cz0tuDiY8C3ctxq1tqvaCgkFb8cCA/edit?usp=sharing"",""ขอนแก่น!J237"")"),6670.41)</f>
        <v>6670.41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IFERROR(__xludf.DUMMYFUNCTION("IMPORTRANGE(""https://docs.google.com/spreadsheets/d/1XL5vhW3sbDhbH9Cz0tuDiY8C3ctxq1tqvaCgkFb8cCA/edit?usp=sharing"",""ขอนแก่น!J238"")"),78)</f>
        <v>78</v>
      </c>
      <c r="K343" s="343">
        <f t="shared" ca="1" si="103"/>
        <v>9.75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IFERROR(__xludf.DUMMYFUNCTION("IMPORTRANGE(""https://docs.google.com/spreadsheets/d/1XL5vhW3sbDhbH9Cz0tuDiY8C3ctxq1tqvaCgkFb8cCA/edit?usp=sharing"",""ขอนแก่น!J239"")"),873.67)</f>
        <v>873.67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IFERROR(__xludf.DUMMYFUNCTION("IMPORTRANGE(""https://docs.google.com/spreadsheets/d/1XL5vhW3sbDhbH9Cz0tuDiY8C3ctxq1tqvaCgkFb8cCA/edit?usp=sharing"",""ขอนแก่น!J240"")"),589)</f>
        <v>589</v>
      </c>
      <c r="K345" s="343">
        <f t="shared" ca="1" si="103"/>
        <v>73.625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IFERROR(__xludf.DUMMYFUNCTION("IMPORTRANGE(""https://docs.google.com/spreadsheets/d/1XL5vhW3sbDhbH9Cz0tuDiY8C3ctxq1tqvaCgkFb8cCA/edit?usp=sharing"",""ขอนแก่น!J241"")"),6881.09)</f>
        <v>6881.09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IFERROR(__xludf.DUMMYFUNCTION("IMPORTRANGE(""https://docs.google.com/spreadsheets/d/1XL5vhW3sbDhbH9Cz0tuDiY8C3ctxq1tqvaCgkFb8cCA/edit?usp=sharing"",""ขอนแก่น!L242"")"),2731921)</f>
        <v>2731921</v>
      </c>
      <c r="M347" s="358"/>
      <c r="N347" s="358">
        <f ca="1">IFERROR(__xludf.DUMMYFUNCTION("IMPORTRANGE(""https://docs.google.com/spreadsheets/d/1XL5vhW3sbDhbH9Cz0tuDiY8C3ctxq1tqvaCgkFb8cCA/edit?usp=sharing"",""ขอนแก่น!M242"")"),1255129.76999999)</f>
        <v>1255129.76999999</v>
      </c>
      <c r="O347" s="358">
        <f ca="1">+IF(L347&gt;0,N347*100/L347,0)</f>
        <v>45.943120976045428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IFERROR(__xludf.DUMMYFUNCTION("IMPORTRANGE(""https://docs.google.com/spreadsheets/d/1XL5vhW3sbDhbH9Cz0tuDiY8C3ctxq1tqvaCgkFb8cCA/edit?usp=sharing"",""ขอนแก่น!M244"")"),195698.5)</f>
        <v>195698.5</v>
      </c>
      <c r="O349" s="373">
        <f ca="1">+IF(L349&gt;0,N349*100/L349,0)</f>
        <v>55.989042428403856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IFERROR(__xludf.DUMMYFUNCTION("IMPORTRANGE(""https://docs.google.com/spreadsheets/d/1XL5vhW3sbDhbH9Cz0tuDiY8C3ctxq1tqvaCgkFb8cCA/edit?usp=sharing"",""ขอนแก่น!M247"")"),195698.5)</f>
        <v>195698.5</v>
      </c>
      <c r="O352" s="165">
        <f t="shared" ca="1" si="105"/>
        <v>55.989042428403856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IFERROR(__xludf.DUMMYFUNCTION("IMPORTRANGE(""https://docs.google.com/spreadsheets/d/1XL5vhW3sbDhbH9Cz0tuDiY8C3ctxq1tqvaCgkFb8cCA/edit?usp=sharing"",""ขอนแก่น!M249"")"),195698.5)</f>
        <v>195698.5</v>
      </c>
      <c r="O354" s="169">
        <f t="shared" ca="1" si="105"/>
        <v>55.989042428403856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IFERROR(__xludf.DUMMYFUNCTION("IMPORTRANGE(""https://docs.google.com/spreadsheets/d/1XL5vhW3sbDhbH9Cz0tuDiY8C3ctxq1tqvaCgkFb8cCA/edit?usp=sharing"",""ขอนแก่น!M250"")"),36540)</f>
        <v>36540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IFERROR(__xludf.DUMMYFUNCTION("IMPORTRANGE(""https://docs.google.com/spreadsheets/d/1XL5vhW3sbDhbH9Cz0tuDiY8C3ctxq1tqvaCgkFb8cCA/edit?usp=sharing"",""ขอนแก่น!M252"")"),87278.5)</f>
        <v>87278.5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IFERROR(__xludf.DUMMYFUNCTION("IMPORTRANGE(""https://docs.google.com/spreadsheets/d/1XL5vhW3sbDhbH9Cz0tuDiY8C3ctxq1tqvaCgkFb8cCA/edit?usp=sharing"",""ขอนแก่น!M275"")"),266215.48)</f>
        <v>266215.48</v>
      </c>
      <c r="O380" s="373">
        <f ca="1">+IF(L380&gt;0,N380*100/L380,0)</f>
        <v>25.88335472329172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IFERROR(__xludf.DUMMYFUNCTION("IMPORTRANGE(""https://docs.google.com/spreadsheets/d/1XL5vhW3sbDhbH9Cz0tuDiY8C3ctxq1tqvaCgkFb8cCA/edit?usp=sharing"",""ขอนแก่น!M278"")"),266215.48)</f>
        <v>266215.48</v>
      </c>
      <c r="O383" s="165">
        <f t="shared" ca="1" si="109"/>
        <v>25.88335472329172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IFERROR(__xludf.DUMMYFUNCTION("IMPORTRANGE(""https://docs.google.com/spreadsheets/d/1XL5vhW3sbDhbH9Cz0tuDiY8C3ctxq1tqvaCgkFb8cCA/edit?usp=sharing"",""ขอนแก่น!M280"")"),266215.48)</f>
        <v>266215.48</v>
      </c>
      <c r="O385" s="169">
        <f t="shared" ca="1" si="109"/>
        <v>25.88335472329172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IFERROR(__xludf.DUMMYFUNCTION("IMPORTRANGE(""https://docs.google.com/spreadsheets/d/1XL5vhW3sbDhbH9Cz0tuDiY8C3ctxq1tqvaCgkFb8cCA/edit?usp=sharing"",""ขอนแก่น!M281"")"),124840)</f>
        <v>124840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IFERROR(__xludf.DUMMYFUNCTION("IMPORTRANGE(""https://docs.google.com/spreadsheets/d/1XL5vhW3sbDhbH9Cz0tuDiY8C3ctxq1tqvaCgkFb8cCA/edit?usp=sharing"",""ขอนแก่น!M283"")"),97935.48)</f>
        <v>97935.48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IFERROR(__xludf.DUMMYFUNCTION("IMPORTRANGE(""https://docs.google.com/spreadsheets/d/1XL5vhW3sbDhbH9Cz0tuDiY8C3ctxq1tqvaCgkFb8cCA/edit?usp=sharing"",""ขอนแก่น!M284"")"),43440)</f>
        <v>43440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IFERROR(__xludf.DUMMYFUNCTION("IMPORTRANGE(""https://docs.google.com/spreadsheets/d/1XL5vhW3sbDhbH9Cz0tuDiY8C3ctxq1tqvaCgkFb8cCA/edit?usp=sharing"",""ขอนแก่น!M296"")"),152550)</f>
        <v>152550</v>
      </c>
      <c r="O401" s="373">
        <f ca="1">+IF(L401&gt;0,N401*100/L401,0)</f>
        <v>66.575019638648854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IFERROR(__xludf.DUMMYFUNCTION("IMPORTRANGE(""https://docs.google.com/spreadsheets/d/1XL5vhW3sbDhbH9Cz0tuDiY8C3ctxq1tqvaCgkFb8cCA/edit?usp=sharing"",""ขอนแก่น!M299"")"),152550)</f>
        <v>152550</v>
      </c>
      <c r="O404" s="169">
        <f t="shared" ca="1" si="112"/>
        <v>66.575019638648854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IFERROR(__xludf.DUMMYFUNCTION("IMPORTRANGE(""https://docs.google.com/spreadsheets/d/1XL5vhW3sbDhbH9Cz0tuDiY8C3ctxq1tqvaCgkFb8cCA/edit?usp=sharing"",""ขอนแก่น!M301"")"),152550)</f>
        <v>152550</v>
      </c>
      <c r="O406" s="169">
        <f t="shared" ca="1" si="112"/>
        <v>66.575019638648854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IFERROR(__xludf.DUMMYFUNCTION("IMPORTRANGE(""https://docs.google.com/spreadsheets/d/1XL5vhW3sbDhbH9Cz0tuDiY8C3ctxq1tqvaCgkFb8cCA/edit?usp=sharing"",""ขอนแก่น!M302"")"),105300)</f>
        <v>105300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IFERROR(__xludf.DUMMYFUNCTION("IMPORTRANGE(""https://docs.google.com/spreadsheets/d/1XL5vhW3sbDhbH9Cz0tuDiY8C3ctxq1tqvaCgkFb8cCA/edit?usp=sharing"",""ขอนแก่น!M303"")"),27250)</f>
        <v>27250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IFERROR(__xludf.DUMMYFUNCTION("IMPORTRANGE(""https://docs.google.com/spreadsheets/d/1XL5vhW3sbDhbH9Cz0tuDiY8C3ctxq1tqvaCgkFb8cCA/edit?usp=sharing"",""ขอนแก่น!M305"")"),20000)</f>
        <v>20000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IFERROR(__xludf.DUMMYFUNCTION("IMPORTRANGE(""https://docs.google.com/spreadsheets/d/1XL5vhW3sbDhbH9Cz0tuDiY8C3ctxq1tqvaCgkFb8cCA/edit?usp=sharing"",""ขอนแก่น!M330"")"),77217.68)</f>
        <v>77217.679999999993</v>
      </c>
      <c r="O435" s="412">
        <f t="shared" ref="O435:O439" ca="1" si="114">+IF(L435&gt;0,N435*100/L435,0)</f>
        <v>53.623388888888883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IFERROR(__xludf.DUMMYFUNCTION("IMPORTRANGE(""https://docs.google.com/spreadsheets/d/1XL5vhW3sbDhbH9Cz0tuDiY8C3ctxq1tqvaCgkFb8cCA/edit?usp=sharing"",""ขอนแก่น!M332"")"),77217.68)</f>
        <v>77217.679999999993</v>
      </c>
      <c r="O437" s="169">
        <f t="shared" ca="1" si="114"/>
        <v>53.623388888888883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IFERROR(__xludf.DUMMYFUNCTION("IMPORTRANGE(""https://docs.google.com/spreadsheets/d/1XL5vhW3sbDhbH9Cz0tuDiY8C3ctxq1tqvaCgkFb8cCA/edit?usp=sharing"",""ขอนแก่น!M334"")"),77217.68)</f>
        <v>77217.679999999993</v>
      </c>
      <c r="O439" s="169">
        <f t="shared" ca="1" si="114"/>
        <v>53.623388888888883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IFERROR(__xludf.DUMMYFUNCTION("IMPORTRANGE(""https://docs.google.com/spreadsheets/d/1XL5vhW3sbDhbH9Cz0tuDiY8C3ctxq1tqvaCgkFb8cCA/edit?usp=sharing"",""ขอนแก่น!M335"")"),59804)</f>
        <v>59804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IFERROR(__xludf.DUMMYFUNCTION("IMPORTRANGE(""https://docs.google.com/spreadsheets/d/1XL5vhW3sbDhbH9Cz0tuDiY8C3ctxq1tqvaCgkFb8cCA/edit?usp=sharing"",""ขอนแก่น!M338"")"),17413.68)</f>
        <v>17413.68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IFERROR(__xludf.DUMMYFUNCTION("IMPORTRANGE(""https://docs.google.com/spreadsheets/d/1XL5vhW3sbDhbH9Cz0tuDiY8C3ctxq1tqvaCgkFb8cCA/edit?usp=sharing"",""ขอนแก่น!J350"")"),60143)</f>
        <v>60143</v>
      </c>
      <c r="K455" s="372">
        <f ca="1">IF(I455&gt;0,J455*100/I455,0)</f>
        <v>96.548568860064535</v>
      </c>
      <c r="L455" s="373">
        <f ca="1">IFERROR(__xludf.DUMMYFUNCTION("IMPORTRANGE(""https://docs.google.com/spreadsheets/d/1XL5vhW3sbDhbH9Cz0tuDiY8C3ctxq1tqvaCgkFb8cCA/edit?usp=sharing"",""ขอนแก่น!L350"")"),594051)</f>
        <v>594051</v>
      </c>
      <c r="M455" s="373"/>
      <c r="N455" s="373">
        <f ca="1">IFERROR(__xludf.DUMMYFUNCTION("IMPORTRANGE(""https://docs.google.com/spreadsheets/d/1XL5vhW3sbDhbH9Cz0tuDiY8C3ctxq1tqvaCgkFb8cCA/edit?usp=sharing"",""ขอนแก่น!M350"")"),423129.37)</f>
        <v>423129.37</v>
      </c>
      <c r="O455" s="373">
        <f t="shared" ref="O455:O459" ca="1" si="116">+IF(L455&gt;0,N455*100/L455,0)</f>
        <v>71.227785156493297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IFERROR(__xludf.DUMMYFUNCTION("IMPORTRANGE(""https://docs.google.com/spreadsheets/d/1XL5vhW3sbDhbH9Cz0tuDiY8C3ctxq1tqvaCgkFb8cCA/edit?usp=sharing"",""ขอนแก่น!L352"")"),594051)</f>
        <v>594051</v>
      </c>
      <c r="M457" s="165"/>
      <c r="N457" s="169">
        <f ca="1">IFERROR(__xludf.DUMMYFUNCTION("IMPORTRANGE(""https://docs.google.com/spreadsheets/d/1XL5vhW3sbDhbH9Cz0tuDiY8C3ctxq1tqvaCgkFb8cCA/edit?usp=sharing"",""ขอนแก่น!M352"")"),423129.37)</f>
        <v>423129.37</v>
      </c>
      <c r="O457" s="169">
        <f t="shared" ca="1" si="116"/>
        <v>71.227785156493297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IFERROR(__xludf.DUMMYFUNCTION("IMPORTRANGE(""https://docs.google.com/spreadsheets/d/1XL5vhW3sbDhbH9Cz0tuDiY8C3ctxq1tqvaCgkFb8cCA/edit?usp=sharing"",""ขอนแก่น!L354"")"),594051)</f>
        <v>594051</v>
      </c>
      <c r="M459" s="169"/>
      <c r="N459" s="169">
        <f ca="1">IFERROR(__xludf.DUMMYFUNCTION("IMPORTRANGE(""https://docs.google.com/spreadsheets/d/1XL5vhW3sbDhbH9Cz0tuDiY8C3ctxq1tqvaCgkFb8cCA/edit?usp=sharing"",""ขอนแก่น!M354"")"),423129.37)</f>
        <v>423129.37</v>
      </c>
      <c r="O459" s="169">
        <f t="shared" ca="1" si="116"/>
        <v>71.227785156493297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IFERROR(__xludf.DUMMYFUNCTION("IMPORTRANGE(""https://docs.google.com/spreadsheets/d/1XL5vhW3sbDhbH9Cz0tuDiY8C3ctxq1tqvaCgkFb8cCA/edit?usp=sharing"",""ขอนแก่น!M357"")"),87645.17)</f>
        <v>87645.17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IFERROR(__xludf.DUMMYFUNCTION("IMPORTRANGE(""https://docs.google.com/spreadsheets/d/1XL5vhW3sbDhbH9Cz0tuDiY8C3ctxq1tqvaCgkFb8cCA/edit?usp=sharing"",""ขอนแก่น!M358"")"),335484.2)</f>
        <v>335484.2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IFERROR(__xludf.DUMMYFUNCTION("IMPORTRANGE(""https://docs.google.com/spreadsheets/d/1XL5vhW3sbDhbH9Cz0tuDiY8C3ctxq1tqvaCgkFb8cCA/edit?usp=sharing"",""ขอนแก่น!J359"")"),60143)</f>
        <v>60143</v>
      </c>
      <c r="K464" s="269">
        <f t="shared" ref="K464:K515" ca="1" si="117">IF(I464&gt;0,J464*100/I464,0)</f>
        <v>96.548568860064535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IFERROR(__xludf.DUMMYFUNCTION("IMPORTRANGE(""https://docs.google.com/spreadsheets/d/1XL5vhW3sbDhbH9Cz0tuDiY8C3ctxq1tqvaCgkFb8cCA/edit?usp=sharing"",""ขอนแก่น!J376"")"),60143)</f>
        <v>60143</v>
      </c>
      <c r="K481" s="202">
        <f t="shared" ca="1" si="117"/>
        <v>96.548568860064535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IFERROR(__xludf.DUMMYFUNCTION("IMPORTRANGE(""https://docs.google.com/spreadsheets/d/1XL5vhW3sbDhbH9Cz0tuDiY8C3ctxq1tqvaCgkFb8cCA/edit?usp=sharing"",""ขอนแก่น!J377"")"),6345)</f>
        <v>6345</v>
      </c>
      <c r="K482" s="163">
        <f t="shared" ca="1" si="117"/>
        <v>96.693081377628772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IFERROR(__xludf.DUMMYFUNCTION("IMPORTRANGE(""https://docs.google.com/spreadsheets/d/1XL5vhW3sbDhbH9Cz0tuDiY8C3ctxq1tqvaCgkFb8cCA/edit?usp=sharing"",""ขอนแก่น!J378"")"),57105)</f>
        <v>57105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IFERROR(__xludf.DUMMYFUNCTION("IMPORTRANGE(""https://docs.google.com/spreadsheets/d/1XL5vhW3sbDhbH9Cz0tuDiY8C3ctxq1tqvaCgkFb8cCA/edit?usp=sharing"",""ขอนแก่น!J379"")"),6089)</f>
        <v>6089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IFERROR(__xludf.DUMMYFUNCTION("IMPORTRANGE(""https://docs.google.com/spreadsheets/d/1XL5vhW3sbDhbH9Cz0tuDiY8C3ctxq1tqvaCgkFb8cCA/edit?usp=sharing"",""ขอนแก่น!J382"")"),3038)</f>
        <v>3038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IFERROR(__xludf.DUMMYFUNCTION("IMPORTRANGE(""https://docs.google.com/spreadsheets/d/1XL5vhW3sbDhbH9Cz0tuDiY8C3ctxq1tqvaCgkFb8cCA/edit?usp=sharing"",""ขอนแก่น!J383"")"),256)</f>
        <v>256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IFERROR(__xludf.DUMMYFUNCTION("IMPORTRANGE(""https://docs.google.com/spreadsheets/d/1XL5vhW3sbDhbH9Cz0tuDiY8C3ctxq1tqvaCgkFb8cCA/edit?usp=sharing"",""ขอนแก่น!J384"")"),3038)</f>
        <v>3038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IFERROR(__xludf.DUMMYFUNCTION("IMPORTRANGE(""https://docs.google.com/spreadsheets/d/1XL5vhW3sbDhbH9Cz0tuDiY8C3ctxq1tqvaCgkFb8cCA/edit?usp=sharing"",""ขอนแก่น!J385"")"),256)</f>
        <v>256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IFERROR(__xludf.DUMMYFUNCTION("IMPORTRANGE(""https://docs.google.com/spreadsheets/d/1XL5vhW3sbDhbH9Cz0tuDiY8C3ctxq1tqvaCgkFb8cCA/edit?usp=sharing"",""ขอนแก่น!J459"")"),10180)</f>
        <v>10180</v>
      </c>
      <c r="K564" s="372">
        <f ca="1">IF(I564&gt;0,J564*100/I564,0)</f>
        <v>339.33333333333331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IFERROR(__xludf.DUMMYFUNCTION("IMPORTRANGE(""https://docs.google.com/spreadsheets/d/1XL5vhW3sbDhbH9Cz0tuDiY8C3ctxq1tqvaCgkFb8cCA/edit?usp=sharing"",""ขอนแก่น!M459"")"),113095.74)</f>
        <v>113095.74</v>
      </c>
      <c r="O564" s="373">
        <f t="shared" ref="O564:O568" ca="1" si="122">+IF(L564&gt;0,N564*100/L564,0)</f>
        <v>67.966189903846157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IFERROR(__xludf.DUMMYFUNCTION("IMPORTRANGE(""https://docs.google.com/spreadsheets/d/1XL5vhW3sbDhbH9Cz0tuDiY8C3ctxq1tqvaCgkFb8cCA/edit?usp=sharing"",""ขอนแก่น!M461"")"),113095.74)</f>
        <v>113095.74</v>
      </c>
      <c r="O566" s="169">
        <f t="shared" ca="1" si="122"/>
        <v>67.966189903846157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IFERROR(__xludf.DUMMYFUNCTION("IMPORTRANGE(""https://docs.google.com/spreadsheets/d/1XL5vhW3sbDhbH9Cz0tuDiY8C3ctxq1tqvaCgkFb8cCA/edit?usp=sharing"",""ขอนแก่น!M463"")"),113095.74)</f>
        <v>113095.74</v>
      </c>
      <c r="O568" s="169">
        <f t="shared" ca="1" si="122"/>
        <v>67.966189903846157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IFERROR(__xludf.DUMMYFUNCTION("IMPORTRANGE(""https://docs.google.com/spreadsheets/d/1XL5vhW3sbDhbH9Cz0tuDiY8C3ctxq1tqvaCgkFb8cCA/edit?usp=sharing"",""ขอนแก่น!J468"")"),10180)</f>
        <v>10180</v>
      </c>
      <c r="K573" s="202">
        <f ca="1">IF(I573&gt;0,J573*100/I573,0)</f>
        <v>339.33333333333331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IFERROR(__xludf.DUMMYFUNCTION("IMPORTRANGE(""https://docs.google.com/spreadsheets/d/1XL5vhW3sbDhbH9Cz0tuDiY8C3ctxq1tqvaCgkFb8cCA/edit?usp=sharing"",""ขอนแก่น!J471"")"),386)</f>
        <v>386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IFERROR(__xludf.DUMMYFUNCTION("IMPORTRANGE(""https://docs.google.com/spreadsheets/d/1XL5vhW3sbDhbH9Cz0tuDiY8C3ctxq1tqvaCgkFb8cCA/edit?usp=sharing"",""ขอนแก่น!J472"")"),9793)</f>
        <v>9793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IFERROR(__xludf.DUMMYFUNCTION("IMPORTRANGE(""https://docs.google.com/spreadsheets/d/1XL5vhW3sbDhbH9Cz0tuDiY8C3ctxq1tqvaCgkFb8cCA/edit?usp=sharing"",""ขอนแก่น!L494"")"),10500)</f>
        <v>10500</v>
      </c>
      <c r="M599" s="165"/>
      <c r="N599" s="169">
        <f ca="1">IFERROR(__xludf.DUMMYFUNCTION("IMPORTRANGE(""https://docs.google.com/spreadsheets/d/1XL5vhW3sbDhbH9Cz0tuDiY8C3ctxq1tqvaCgkFb8cCA/edit?usp=sharing"",""ขอนแก่น!M494"")"),5450)</f>
        <v>5450</v>
      </c>
      <c r="O599" s="169">
        <f t="shared" ca="1" si="126"/>
        <v>51.904761904761905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IFERROR(__xludf.DUMMYFUNCTION("IMPORTRANGE(""https://docs.google.com/spreadsheets/d/1XL5vhW3sbDhbH9Cz0tuDiY8C3ctxq1tqvaCgkFb8cCA/edit?usp=sharing"",""ขอนแก่น!L496"")"),10500)</f>
        <v>10500</v>
      </c>
      <c r="M601" s="169"/>
      <c r="N601" s="169">
        <f ca="1">IFERROR(__xludf.DUMMYFUNCTION("IMPORTRANGE(""https://docs.google.com/spreadsheets/d/1XL5vhW3sbDhbH9Cz0tuDiY8C3ctxq1tqvaCgkFb8cCA/edit?usp=sharing"",""ขอนแก่น!M496"")"),5450)</f>
        <v>5450</v>
      </c>
      <c r="O601" s="169">
        <f t="shared" ca="1" si="126"/>
        <v>51.904761904761905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IFERROR(__xludf.DUMMYFUNCTION("IMPORTRANGE(""https://docs.google.com/spreadsheets/d/1XL5vhW3sbDhbH9Cz0tuDiY8C3ctxq1tqvaCgkFb8cCA/edit?usp=sharing"",""ขอนแก่น!J523"")"),2399916.67)</f>
        <v>2399916.67</v>
      </c>
      <c r="K628" s="343">
        <f t="shared" ref="K628:K635" ca="1" si="129">IF(I628&gt;0,J628*100/I628,0)</f>
        <v>66.254720357218986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IFERROR(__xludf.DUMMYFUNCTION("IMPORTRANGE(""https://docs.google.com/spreadsheets/d/1XL5vhW3sbDhbH9Cz0tuDiY8C3ctxq1tqvaCgkFb8cCA/edit?usp=sharing"",""ขอนแก่น!J524"")"),138)</f>
        <v>138</v>
      </c>
      <c r="K629" s="343">
        <f t="shared" ca="1" si="129"/>
        <v>57.02479338842975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IFERROR(__xludf.DUMMYFUNCTION("IMPORTRANGE(""https://docs.google.com/spreadsheets/d/1XL5vhW3sbDhbH9Cz0tuDiY8C3ctxq1tqvaCgkFb8cCA/edit?usp=sharing"",""ขอนแก่น!J525"")"),1565273.68)</f>
        <v>1565273.68</v>
      </c>
      <c r="K630" s="343">
        <f t="shared" ca="1" si="129"/>
        <v>7.3598593298982387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IFERROR(__xludf.DUMMYFUNCTION("IMPORTRANGE(""https://docs.google.com/spreadsheets/d/1XL5vhW3sbDhbH9Cz0tuDiY8C3ctxq1tqvaCgkFb8cCA/edit?usp=sharing"",""ขอนแก่น!J526"")"),194)</f>
        <v>194</v>
      </c>
      <c r="K631" s="343">
        <f t="shared" ca="1" si="129"/>
        <v>31.647634584013051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IFERROR(__xludf.DUMMYFUNCTION("IMPORTRANGE(""https://docs.google.com/spreadsheets/d/1XL5vhW3sbDhbH9Cz0tuDiY8C3ctxq1tqvaCgkFb8cCA/edit?usp=sharing"",""ขอนแก่น!J527"")"),224968.11)</f>
        <v>224968.11</v>
      </c>
      <c r="K632" s="343">
        <f t="shared" ca="1" si="129"/>
        <v>45.85754513287079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IFERROR(__xludf.DUMMYFUNCTION("IMPORTRANGE(""https://docs.google.com/spreadsheets/d/1XL5vhW3sbDhbH9Cz0tuDiY8C3ctxq1tqvaCgkFb8cCA/edit?usp=sharing"",""ขอนแก่น!J528"")"),44)</f>
        <v>44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IFERROR(__xludf.DUMMYFUNCTION("IMPORTRANGE(""https://docs.google.com/spreadsheets/d/1XL5vhW3sbDhbH9Cz0tuDiY8C3ctxq1tqvaCgkFb8cCA/edit?usp=sharing"",""ขอนแก่น!J529"")"),3550000)</f>
        <v>3550000</v>
      </c>
      <c r="K634" s="343">
        <f t="shared" ca="1" si="129"/>
        <v>54.615384615384613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IFERROR(__xludf.DUMMYFUNCTION("IMPORTRANGE(""https://docs.google.com/spreadsheets/d/1XL5vhW3sbDhbH9Cz0tuDiY8C3ctxq1tqvaCgkFb8cCA/edit?usp=sharing"",""ขอนแก่น!J530"")"),71)</f>
        <v>71</v>
      </c>
      <c r="K635" s="486">
        <f t="shared" ca="1" si="129"/>
        <v>54.615384615384613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5385</v>
      </c>
      <c r="M636" s="560"/>
      <c r="N636" s="559">
        <f ca="1">SUM(N637:N638)</f>
        <v>1235</v>
      </c>
      <c r="O636" s="559">
        <f t="shared" ref="O636:O640" ca="1" si="130">+IF(L636&gt;0,N636*100/L636,0)</f>
        <v>22.934076137418757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5385</v>
      </c>
      <c r="M638" s="570"/>
      <c r="N638" s="571">
        <f ca="1">SUM(N639:N640)</f>
        <v>1235</v>
      </c>
      <c r="O638" s="571">
        <f t="shared" ca="1" si="130"/>
        <v>22.934076137418757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5385</v>
      </c>
      <c r="M640" s="570"/>
      <c r="N640" s="571">
        <f ca="1">SUM(N641:N644)</f>
        <v>1235</v>
      </c>
      <c r="O640" s="571">
        <f t="shared" ca="1" si="130"/>
        <v>22.934076137418757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1235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IFERROR(__xludf.DUMMYFUNCTION("IMPORTRANGE(""https://docs.google.com/spreadsheets/d/1XL5vhW3sbDhbH9Cz0tuDiY8C3ctxq1tqvaCgkFb8cCA/edit#gid=346597447"",""ขอนแก่น!J541"")"),0)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IFERROR(__xludf.DUMMYFUNCTION("IMPORTRANGE(""https://docs.google.com/spreadsheets/d/1XL5vhW3sbDhbH9Cz0tuDiY8C3ctxq1tqvaCgkFb8cCA/edit#gid=346597447"",""ขอนแก่น!J542"")"),0)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IFERROR(__xludf.DUMMYFUNCTION("IMPORTRANGE(""https://docs.google.com/spreadsheets/d/1XL5vhW3sbDhbH9Cz0tuDiY8C3ctxq1tqvaCgkFb8cCA/edit#gid=346597447"",""ขอนแก่น!I543"")"),0)</f>
        <v>0</v>
      </c>
      <c r="J648" s="585">
        <f ca="1">IFERROR(__xludf.DUMMYFUNCTION("IMPORTRANGE(""https://docs.google.com/spreadsheets/d/1XL5vhW3sbDhbH9Cz0tuDiY8C3ctxq1tqvaCgkFb8cCA/edit#gid=346597447"",""ขอนแก่น!J543"")"),0)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IFERROR(__xludf.DUMMYFUNCTION("IMPORTRANGE(""https://docs.google.com/spreadsheets/d/1XL5vhW3sbDhbH9Cz0tuDiY8C3ctxq1tqvaCgkFb8cCA/edit#gid=346597447"",""ขอนแก่น!L543"")"),0)</f>
        <v>0</v>
      </c>
      <c r="M648" s="570"/>
      <c r="N648" s="587">
        <f ca="1">IFERROR(__xludf.DUMMYFUNCTION("IMPORTRANGE(""https://docs.google.com/spreadsheets/d/1XL5vhW3sbDhbH9Cz0tuDiY8C3ctxq1tqvaCgkFb8cCA/edit#gid=346597447"",""ขอนแก่น!M543"")"),0)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IFERROR(__xludf.DUMMYFUNCTION("IMPORTRANGE(""https://docs.google.com/spreadsheets/d/1XL5vhW3sbDhbH9Cz0tuDiY8C3ctxq1tqvaCgkFb8cCA/edit#gid=346597447"",""ขอนแก่น!I544"")"),0)</f>
        <v>0</v>
      </c>
      <c r="J649" s="585">
        <f ca="1">IFERROR(__xludf.DUMMYFUNCTION("IMPORTRANGE(""https://docs.google.com/spreadsheets/d/1XL5vhW3sbDhbH9Cz0tuDiY8C3ctxq1tqvaCgkFb8cCA/edit#gid=346597447"",""ขอนแก่น!J544"")"),0)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IFERROR(__xludf.DUMMYFUNCTION("IMPORTRANGE(""https://docs.google.com/spreadsheets/d/1XL5vhW3sbDhbH9Cz0tuDiY8C3ctxq1tqvaCgkFb8cCA/edit#gid=346597447"",""ขอนแก่น!L544"")"),0)</f>
        <v>0</v>
      </c>
      <c r="M649" s="570"/>
      <c r="N649" s="587">
        <f ca="1">IFERROR(__xludf.DUMMYFUNCTION("IMPORTRANGE(""https://docs.google.com/spreadsheets/d/1XL5vhW3sbDhbH9Cz0tuDiY8C3ctxq1tqvaCgkFb8cCA/edit#gid=346597447"",""ขอนแก่น!M544"")"),0)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IFERROR(__xludf.DUMMYFUNCTION("IMPORTRANGE(""https://docs.google.com/spreadsheets/d/1XL5vhW3sbDhbH9Cz0tuDiY8C3ctxq1tqvaCgkFb8cCA/edit#gid=346597447"",""ขอนแก่น!I545"")"),14)</f>
        <v>14</v>
      </c>
      <c r="J650" s="585">
        <f ca="1">IFERROR(__xludf.DUMMYFUNCTION("IMPORTRANGE(""https://docs.google.com/spreadsheets/d/1XL5vhW3sbDhbH9Cz0tuDiY8C3ctxq1tqvaCgkFb8cCA/edit#gid=346597447"",""ขอนแก่น!J545"")"),0)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IFERROR(__xludf.DUMMYFUNCTION("IMPORTRANGE(""https://docs.google.com/spreadsheets/d/1XL5vhW3sbDhbH9Cz0tuDiY8C3ctxq1tqvaCgkFb8cCA/edit#gid=346597447"",""ขอนแก่น!L545"")"),70)</f>
        <v>70</v>
      </c>
      <c r="M650" s="570"/>
      <c r="N650" s="587">
        <f ca="1">IFERROR(__xludf.DUMMYFUNCTION("IMPORTRANGE(""https://docs.google.com/spreadsheets/d/1XL5vhW3sbDhbH9Cz0tuDiY8C3ctxq1tqvaCgkFb8cCA/edit#gid=346597447"",""ขอนแก่น!M545"")"),1120)</f>
        <v>1120</v>
      </c>
      <c r="O650" s="586">
        <f t="shared" ca="1" si="132"/>
        <v>1600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IFERROR(__xludf.DUMMYFUNCTION("IMPORTRANGE(""https://docs.google.com/spreadsheets/d/1XL5vhW3sbDhbH9Cz0tuDiY8C3ctxq1tqvaCgkFb8cCA/edit#gid=346597447"",""ขอนแก่น!I546"")"),203)</f>
        <v>203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IFERROR(__xludf.DUMMYFUNCTION("IMPORTRANGE(""https://docs.google.com/spreadsheets/d/1XL5vhW3sbDhbH9Cz0tuDiY8C3ctxq1tqvaCgkFb8cCA/edit#gid=346597447"",""ขอนแก่น!L546"")"),5075)</f>
        <v>5075</v>
      </c>
      <c r="M651" s="570"/>
      <c r="N651" s="587">
        <f ca="1">IFERROR(__xludf.DUMMYFUNCTION("IMPORTRANGE(""https://docs.google.com/spreadsheets/d/1XL5vhW3sbDhbH9Cz0tuDiY8C3ctxq1tqvaCgkFb8cCA/edit#gid=346597447"",""ขอนแก่น!M546"")"),115)</f>
        <v>115</v>
      </c>
      <c r="O651" s="586">
        <f t="shared" ca="1" si="132"/>
        <v>2.2660098522167487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IFERROR(__xludf.DUMMYFUNCTION("IMPORTRANGE(""https://docs.google.com/spreadsheets/d/1XL5vhW3sbDhbH9Cz0tuDiY8C3ctxq1tqvaCgkFb8cCA/edit#gid=346597447"",""ขอนแก่น!J547"")"),0)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IFERROR(__xludf.DUMMYFUNCTION("IMPORTRANGE(""https://docs.google.com/spreadsheets/d/1XL5vhW3sbDhbH9Cz0tuDiY8C3ctxq1tqvaCgkFb8cCA/edit#gid=346597447"",""ขอนแก่น!J548"")"),0)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IFERROR(__xludf.DUMMYFUNCTION("IMPORTRANGE(""https://docs.google.com/spreadsheets/d/1XL5vhW3sbDhbH9Cz0tuDiY8C3ctxq1tqvaCgkFb8cCA/edit#gid=346597447"",""ขอนแก่น!J550"")"),0)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IFERROR(__xludf.DUMMYFUNCTION("IMPORTRANGE(""https://docs.google.com/spreadsheets/d/1XL5vhW3sbDhbH9Cz0tuDiY8C3ctxq1tqvaCgkFb8cCA/edit#gid=346597447"",""ขอนแก่น!J551"")"),0)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IFERROR(__xludf.DUMMYFUNCTION("IMPORTRANGE(""https://docs.google.com/spreadsheets/d/1XL5vhW3sbDhbH9Cz0tuDiY8C3ctxq1tqvaCgkFb8cCA/edit#gid=346597447"",""ขอนแก่น!J552"")"),0)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IFERROR(__xludf.DUMMYFUNCTION("IMPORTRANGE(""https://docs.google.com/spreadsheets/d/1XL5vhW3sbDhbH9Cz0tuDiY8C3ctxq1tqvaCgkFb8cCA/edit#gid=346597447"",""ขอนแก่น!J553"")"),0)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IFERROR(__xludf.DUMMYFUNCTION("IMPORTRANGE(""https://docs.google.com/spreadsheets/d/1XL5vhW3sbDhbH9Cz0tuDiY8C3ctxq1tqvaCgkFb8cCA/edit#gid=346597447"",""ขอนแก่น!J554"")"),0)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IFERROR(__xludf.DUMMYFUNCTION("IMPORTRANGE(""https://docs.google.com/spreadsheets/d/1XL5vhW3sbDhbH9Cz0tuDiY8C3ctxq1tqvaCgkFb8cCA/edit#gid=346597447"",""ขอนแก่น!J555"")"),0)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IFERROR(__xludf.DUMMYFUNCTION("IMPORTRANGE(""https://docs.google.com/spreadsheets/d/1XL5vhW3sbDhbH9Cz0tuDiY8C3ctxq1tqvaCgkFb8cCA/edit#gid=346597447"",""ขอนแก่น!J556"")"),0)</f>
        <v>0</v>
      </c>
      <c r="K661" s="586"/>
      <c r="L661" s="571">
        <f ca="1">IFERROR(__xludf.DUMMYFUNCTION("IMPORTRANGE(""https://docs.google.com/spreadsheets/d/1XL5vhW3sbDhbH9Cz0tuDiY8C3ctxq1tqvaCgkFb8cCA/edit#gid=346597447"",""ขอนแก่น!L556"")"),0)</f>
        <v>0</v>
      </c>
      <c r="M661" s="570"/>
      <c r="N661" s="587">
        <f ca="1">IFERROR(__xludf.DUMMYFUNCTION("IMPORTRANGE(""https://docs.google.com/spreadsheets/d/1XL5vhW3sbDhbH9Cz0tuDiY8C3ctxq1tqvaCgkFb8cCA/edit#gid=346597447"",""ขอนแก่น!M556"")"),0)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IFERROR(__xludf.DUMMYFUNCTION("IMPORTRANGE(""https://docs.google.com/spreadsheets/d/1XL5vhW3sbDhbH9Cz0tuDiY8C3ctxq1tqvaCgkFb8cCA/edit#gid=346597447"",""ขอนแก่น!J557"")"),0)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IFERROR(__xludf.DUMMYFUNCTION("IMPORTRANGE(""https://docs.google.com/spreadsheets/d/1XL5vhW3sbDhbH9Cz0tuDiY8C3ctxq1tqvaCgkFb8cCA/edit#gid=346597447"",""ขอนแก่น!I558"")"),0)</f>
        <v>0</v>
      </c>
      <c r="J663" s="585">
        <f ca="1">IFERROR(__xludf.DUMMYFUNCTION("IMPORTRANGE(""https://docs.google.com/spreadsheets/d/1XL5vhW3sbDhbH9Cz0tuDiY8C3ctxq1tqvaCgkFb8cCA/edit#gid=346597447"",""ขอนแก่น!J558"")"),0)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IFERROR(__xludf.DUMMYFUNCTION("IMPORTRANGE(""https://docs.google.com/spreadsheets/d/1XL5vhW3sbDhbH9Cz0tuDiY8C3ctxq1tqvaCgkFb8cCA/edit#gid=346597447"",""ขอนแก่น!I560"")"),2)</f>
        <v>2</v>
      </c>
      <c r="J665" s="585">
        <f ca="1">IFERROR(__xludf.DUMMYFUNCTION("IMPORTRANGE(""https://docs.google.com/spreadsheets/d/1XL5vhW3sbDhbH9Cz0tuDiY8C3ctxq1tqvaCgkFb8cCA/edit#gid=346597447"",""ขอนแก่น!J560"")"),0)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IFERROR(__xludf.DUMMYFUNCTION("IMPORTRANGE(""https://docs.google.com/spreadsheets/d/1XL5vhW3sbDhbH9Cz0tuDiY8C3ctxq1tqvaCgkFb8cCA/edit#gid=346597447"",""ขอนแก่น!L560"")"),240)</f>
        <v>240</v>
      </c>
      <c r="M665" s="570"/>
      <c r="N665" s="587">
        <f ca="1">IFERROR(__xludf.DUMMYFUNCTION("IMPORTRANGE(""https://docs.google.com/spreadsheets/d/1XL5vhW3sbDhbH9Cz0tuDiY8C3ctxq1tqvaCgkFb8cCA/edit#gid=346597447"",""ขอนแก่น!M560"")"),0)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IFERROR(__xludf.DUMMYFUNCTION("IMPORTRANGE(""https://docs.google.com/spreadsheets/d/1XL5vhW3sbDhbH9Cz0tuDiY8C3ctxq1tqvaCgkFb8cCA/edit#gid=346597447"",""ขอนแก่น!J561"")"),0)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IFERROR(__xludf.DUMMYFUNCTION("IMPORTRANGE(""https://docs.google.com/spreadsheets/d/1XL5vhW3sbDhbH9Cz0tuDiY8C3ctxq1tqvaCgkFb8cCA/edit#gid=346597447"",""ขอนแก่น!J562"")"),0)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IFERROR(__xludf.DUMMYFUNCTION("IMPORTRANGE(""https://docs.google.com/spreadsheets/d/1XL5vhW3sbDhbH9Cz0tuDiY8C3ctxq1tqvaCgkFb8cCA/edit#gid=346597447"",""ขอนแก่น!I563"")"),0)</f>
        <v>0</v>
      </c>
      <c r="J668" s="585">
        <f ca="1">IFERROR(__xludf.DUMMYFUNCTION("IMPORTRANGE(""https://docs.google.com/spreadsheets/d/1XL5vhW3sbDhbH9Cz0tuDiY8C3ctxq1tqvaCgkFb8cCA/edit#gid=346597447"",""ขอนแก่น!J563"")"),0)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IFERROR(__xludf.DUMMYFUNCTION("IMPORTRANGE(""https://docs.google.com/spreadsheets/d/1XL5vhW3sbDhbH9Cz0tuDiY8C3ctxq1tqvaCgkFb8cCA/edit#gid=346597447"",""ขอนแก่น!L563"")"),0)</f>
        <v>0</v>
      </c>
      <c r="M668" s="570"/>
      <c r="N668" s="587">
        <f ca="1">IFERROR(__xludf.DUMMYFUNCTION("IMPORTRANGE(""https://docs.google.com/spreadsheets/d/1XL5vhW3sbDhbH9Cz0tuDiY8C3ctxq1tqvaCgkFb8cCA/edit#gid=346597447"",""ขอนแก่น!M563"")"),0)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IFERROR(__xludf.DUMMYFUNCTION("IMPORTRANGE(""https://docs.google.com/spreadsheets/d/1XL5vhW3sbDhbH9Cz0tuDiY8C3ctxq1tqvaCgkFb8cCA/edit#gid=346597447"",""ขอนแก่น!J564"")"),0)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IFERROR(__xludf.DUMMYFUNCTION("IMPORTRANGE(""https://docs.google.com/spreadsheets/d/1XL5vhW3sbDhbH9Cz0tuDiY8C3ctxq1tqvaCgkFb8cCA/edit#gid=346597447"",""ขอนแก่น!J565"")"),0)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IFERROR(__xludf.DUMMYFUNCTION("IMPORTRANGE(""https://docs.google.com/spreadsheets/d/1XL5vhW3sbDhbH9Cz0tuDiY8C3ctxq1tqvaCgkFb8cCA/edit#gid=346597447"",""ขอนแก่น!I566"")"),0)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IFERROR(__xludf.DUMMYFUNCTION("IMPORTRANGE(""https://docs.google.com/spreadsheets/d/1XL5vhW3sbDhbH9Cz0tuDiY8C3ctxq1tqvaCgkFb8cCA/edit#gid=346597447"",""ขอนแก่น!L566"")"),0)</f>
        <v>0</v>
      </c>
      <c r="M671" s="570"/>
      <c r="N671" s="587">
        <f ca="1">IFERROR(__xludf.DUMMYFUNCTION("IMPORTRANGE(""https://docs.google.com/spreadsheets/d/1XL5vhW3sbDhbH9Cz0tuDiY8C3ctxq1tqvaCgkFb8cCA/edit#gid=346597447"",""ขอนแก่น!M566"")"),0)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IFERROR(__xludf.DUMMYFUNCTION("IMPORTRANGE(""https://docs.google.com/spreadsheets/d/1XL5vhW3sbDhbH9Cz0tuDiY8C3ctxq1tqvaCgkFb8cCA/edit#gid=346597447"",""ขอนแก่น!J567"")"),0)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IFERROR(__xludf.DUMMYFUNCTION("IMPORTRANGE(""https://docs.google.com/spreadsheets/d/1XL5vhW3sbDhbH9Cz0tuDiY8C3ctxq1tqvaCgkFb8cCA/edit#gid=346597447"",""ขอนแก่น!J568"")"),0)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IFERROR(__xludf.DUMMYFUNCTION("IMPORTRANGE(""https://docs.google.com/spreadsheets/d/1XL5vhW3sbDhbH9Cz0tuDiY8C3ctxq1tqvaCgkFb8cCA/edit#gid=346597447"",""ขอนแก่น!J569"")"),0)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IFERROR(__xludf.DUMMYFUNCTION("IMPORTRANGE(""https://docs.google.com/spreadsheets/d/1XL5vhW3sbDhbH9Cz0tuDiY8C3ctxq1tqvaCgkFb8cCA/edit#gid=346597447"",""ขอนแก่น!J570"")"),0)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IFERROR(__xludf.DUMMYFUNCTION("IMPORTRANGE(""https://docs.google.com/spreadsheets/d/1XL5vhW3sbDhbH9Cz0tuDiY8C3ctxq1tqvaCgkFb8cCA/edit#gid=346597447"",""ขอนแก่น!J571"")"),0)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IFERROR(__xludf.DUMMYFUNCTION("IMPORTRANGE(""https://docs.google.com/spreadsheets/d/1XL5vhW3sbDhbH9Cz0tuDiY8C3ctxq1tqvaCgkFb8cCA/edit#gid=346597447"",""ขอนแก่น!J572"")"),0)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7990372</v>
      </c>
      <c r="M8" s="23">
        <f t="shared" ca="1" si="0"/>
        <v>4966662</v>
      </c>
      <c r="N8" s="23">
        <f t="shared" ca="1" si="0"/>
        <v>5062676.7100000009</v>
      </c>
      <c r="O8" s="22">
        <f t="shared" ref="O8:O16" ca="1" si="1">IF(L8&gt;0,N8*100/L8,0)</f>
        <v>63.359712288739516</v>
      </c>
      <c r="P8" s="22">
        <f t="shared" ref="P8:P16" ca="1" si="2">IF(M8&gt;0,N8*100/M8,0)</f>
        <v>101.93318389695133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7990372</v>
      </c>
      <c r="M10" s="30">
        <f t="shared" ca="1" si="4"/>
        <v>4966662</v>
      </c>
      <c r="N10" s="30">
        <f t="shared" ca="1" si="4"/>
        <v>5062676.7100000009</v>
      </c>
      <c r="O10" s="29">
        <f t="shared" ca="1" si="1"/>
        <v>63.359712288739516</v>
      </c>
      <c r="P10" s="29">
        <f t="shared" ca="1" si="2"/>
        <v>101.93318389695133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6524373</v>
      </c>
      <c r="M12" s="38">
        <f t="shared" ca="1" si="6"/>
        <v>3500663</v>
      </c>
      <c r="N12" s="38">
        <f t="shared" ca="1" si="6"/>
        <v>3596677.7100000004</v>
      </c>
      <c r="O12" s="38">
        <f t="shared" ca="1" si="1"/>
        <v>55.126794712687342</v>
      </c>
      <c r="P12" s="38">
        <f t="shared" ca="1" si="2"/>
        <v>102.742757871866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3660473</v>
      </c>
      <c r="M14" s="38">
        <f t="shared" si="8"/>
        <v>0</v>
      </c>
      <c r="N14" s="38">
        <f t="shared" ca="1" si="8"/>
        <v>493992.1</v>
      </c>
      <c r="O14" s="38">
        <f t="shared" ca="1" si="1"/>
        <v>13.495307846827446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1465999</v>
      </c>
      <c r="M16" s="38">
        <f t="shared" ca="1" si="10"/>
        <v>1465999</v>
      </c>
      <c r="N16" s="38">
        <f t="shared" ca="1" si="10"/>
        <v>1465999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5925889</v>
      </c>
      <c r="M18" s="23">
        <f t="shared" ca="1" si="11"/>
        <v>4966662</v>
      </c>
      <c r="N18" s="23">
        <f t="shared" ca="1" si="11"/>
        <v>4568684.6100000003</v>
      </c>
      <c r="O18" s="22">
        <f t="shared" ref="O18:O20" ca="1" si="12">IF(L18&gt;0,N18*100/L18,0)</f>
        <v>77.097033204638166</v>
      </c>
      <c r="P18" s="22">
        <f t="shared" ref="P18:P26" ca="1" si="13">IF(M18&gt;0,N18*100/M18,0)</f>
        <v>91.987024887137494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5925889</v>
      </c>
      <c r="M20" s="30">
        <f t="shared" ca="1" si="15"/>
        <v>4966662</v>
      </c>
      <c r="N20" s="30">
        <f t="shared" ca="1" si="15"/>
        <v>4568684.6100000003</v>
      </c>
      <c r="O20" s="29">
        <f t="shared" ca="1" si="12"/>
        <v>77.097033204638166</v>
      </c>
      <c r="P20" s="29">
        <f t="shared" ca="1" si="13"/>
        <v>91.987024887137494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3500663</v>
      </c>
      <c r="N22" s="38">
        <f t="shared" ca="1" si="18"/>
        <v>3102685.6100000003</v>
      </c>
      <c r="O22" s="38">
        <f t="shared" ca="1" si="17"/>
        <v>69.568657747164181</v>
      </c>
      <c r="P22" s="38">
        <f t="shared" ca="1" si="13"/>
        <v>88.631370971727378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1465999</v>
      </c>
      <c r="M26" s="49">
        <f t="shared" ca="1" si="22"/>
        <v>1465999</v>
      </c>
      <c r="N26" s="49">
        <f t="shared" ca="1" si="22"/>
        <v>1465999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2064483</v>
      </c>
      <c r="M28" s="23">
        <f t="shared" si="23"/>
        <v>0</v>
      </c>
      <c r="N28" s="23">
        <f t="shared" ca="1" si="23"/>
        <v>493992.1</v>
      </c>
      <c r="O28" s="22">
        <f t="shared" ref="O28:O30" ca="1" si="24">IF(L28&gt;0,N28*100/L28,0)</f>
        <v>23.928126315401968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2064483</v>
      </c>
      <c r="M30" s="30">
        <f t="shared" si="27"/>
        <v>0</v>
      </c>
      <c r="N30" s="30">
        <f t="shared" ca="1" si="27"/>
        <v>493992.1</v>
      </c>
      <c r="O30" s="29">
        <f t="shared" ca="1" si="24"/>
        <v>23.928126315401968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2064483</v>
      </c>
      <c r="M32" s="38">
        <f t="shared" si="30"/>
        <v>0</v>
      </c>
      <c r="N32" s="38">
        <f t="shared" ca="1" si="30"/>
        <v>493992.1</v>
      </c>
      <c r="O32" s="38">
        <f t="shared" ca="1" si="29"/>
        <v>23.928126315401968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2064483</v>
      </c>
      <c r="M34" s="38">
        <f t="shared" si="32"/>
        <v>0</v>
      </c>
      <c r="N34" s="38">
        <f t="shared" ca="1" si="32"/>
        <v>493992.1</v>
      </c>
      <c r="O34" s="38">
        <f t="shared" ca="1" si="29"/>
        <v>23.928126315401968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5925889</v>
      </c>
      <c r="M37" s="54">
        <f t="shared" ca="1" si="33"/>
        <v>4966662</v>
      </c>
      <c r="N37" s="54">
        <f t="shared" ca="1" si="33"/>
        <v>4568684.6100000003</v>
      </c>
      <c r="O37" s="55">
        <f t="shared" ca="1" si="29"/>
        <v>77.097033204638166</v>
      </c>
      <c r="P37" s="55">
        <f t="shared" ca="1" si="25"/>
        <v>91.987024887137494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2456799</v>
      </c>
      <c r="M41" s="78">
        <f t="shared" ca="1" si="34"/>
        <v>2209099</v>
      </c>
      <c r="N41" s="78">
        <f t="shared" ca="1" si="34"/>
        <v>2163012.41</v>
      </c>
      <c r="O41" s="77">
        <f t="shared" ref="O41:O43" ca="1" si="35">IF(L41&gt;0,N41*100/L41,0)</f>
        <v>88.041895572246645</v>
      </c>
      <c r="P41" s="77">
        <f t="shared" ref="P41:P43" ca="1" si="36">IF(M41&gt;0,N41*100/M41,0)</f>
        <v>97.913783402192479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2456799</v>
      </c>
      <c r="M43" s="78">
        <f t="shared" ca="1" si="38"/>
        <v>2209099</v>
      </c>
      <c r="N43" s="78">
        <f t="shared" ca="1" si="38"/>
        <v>2163012.41</v>
      </c>
      <c r="O43" s="77">
        <f t="shared" ca="1" si="35"/>
        <v>88.041895572246645</v>
      </c>
      <c r="P43" s="77">
        <f t="shared" ca="1" si="36"/>
        <v>97.913783402192479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IFERROR(__xludf.DUMMYFUNCTION("IMPORTRANGE(""https://docs.google.com/spreadsheets/d/1Yj_ptqi66GCucihVvJfMjLAmec39IyEx_6qawtMGysU/edit?usp=sharing"",""สบก!Q40"")"),743100)</f>
        <v>743100</v>
      </c>
      <c r="N45" s="49">
        <f ca="1">IFERROR(__xludf.DUMMYFUNCTION("IMPORTRANGE(""https://docs.google.com/spreadsheets/d/1Yj_ptqi66GCucihVvJfMjLAmec39IyEx_6qawtMGysU/edit?usp=sharing"",""สบก!R40"")"),697013.41)</f>
        <v>697013.41</v>
      </c>
      <c r="O45" s="38">
        <f ca="1">IF(L45&gt;0,N45*100/L45,0)</f>
        <v>70.348547638272109</v>
      </c>
      <c r="P45" s="38">
        <f ca="1">IF(M45&gt;0,N45*100/M45,0)</f>
        <v>93.798063517696136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IFERROR(__xludf.DUMMYFUNCTION("IMPORTRANGE(""https://docs.google.com/spreadsheets/d/1Yj_ptqi66GCucihVvJfMjLAmec39IyEx_6qawtMGysU/edit?usp=sharing"",""สบก!O40"")"),1465999)</f>
        <v>1465999</v>
      </c>
      <c r="M49" s="49">
        <f ca="1">L49</f>
        <v>1465999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708208</v>
      </c>
      <c r="N53" s="121">
        <f t="shared" ca="1" si="39"/>
        <v>686109</v>
      </c>
      <c r="O53" s="120">
        <f t="shared" ref="O53:O55" ca="1" si="40">IF(L53&gt;0,N53*100/L53,0)</f>
        <v>88.098228043143294</v>
      </c>
      <c r="P53" s="120">
        <f t="shared" ref="P53:P55" ca="1" si="41">IF(M53&gt;0,N53*100/M53,0)</f>
        <v>96.879589047285549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708208</v>
      </c>
      <c r="N55" s="121">
        <f t="shared" ca="1" si="43"/>
        <v>686109</v>
      </c>
      <c r="O55" s="120">
        <f t="shared" ca="1" si="40"/>
        <v>88.098228043143294</v>
      </c>
      <c r="P55" s="120">
        <f t="shared" ca="1" si="41"/>
        <v>96.879589047285549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IFERROR(__xludf.DUMMYFUNCTION("IMPORTRANGE(""https://docs.google.com/spreadsheets/d/1Yj_ptqi66GCucihVvJfMjLAmec39IyEx_6qawtMGysU/edit?usp=sharing"",""สบก!Z40"")"),708208)</f>
        <v>708208</v>
      </c>
      <c r="N57" s="49">
        <f ca="1">IFERROR(__xludf.DUMMYFUNCTION("IMPORTRANGE(""https://docs.google.com/spreadsheets/d/1Yj_ptqi66GCucihVvJfMjLAmec39IyEx_6qawtMGysU/edit?usp=sharing"",""สบก!AA40"")"),686109)</f>
        <v>686109</v>
      </c>
      <c r="O57" s="38">
        <f ca="1">IF(L57&gt;0,N57*100/L57,0)</f>
        <v>88.098228043143294</v>
      </c>
      <c r="P57" s="38">
        <f ca="1">IF(M57&gt;0,N57*100/M57,0)</f>
        <v>96.879589047285549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21725</v>
      </c>
      <c r="O118" s="151">
        <f t="shared" ref="O118:O120" ca="1" si="59">IF(L118&gt;0,N118*100/L118,0)</f>
        <v>26.352498786996602</v>
      </c>
      <c r="P118" s="151">
        <f t="shared" ref="P118:P120" ca="1" si="60">IF(M118&gt;0,N118*100/M118,0)</f>
        <v>26.352498786996602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21725</v>
      </c>
      <c r="O120" s="156">
        <f t="shared" ca="1" si="59"/>
        <v>26.352498786996602</v>
      </c>
      <c r="P120" s="156">
        <f t="shared" ca="1" si="60"/>
        <v>26.352498786996602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IFERROR(__xludf.DUMMYFUNCTION("IMPORTRANGE(""https://docs.google.com/spreadsheets/d/1Yj_ptqi66GCucihVvJfMjLAmec39IyEx_6qawtMGysU/edit?usp=sharing"",""สบก!BA40"")"),82440)</f>
        <v>82440</v>
      </c>
      <c r="N122" s="169">
        <f ca="1">IFERROR(__xludf.DUMMYFUNCTION("IMPORTRANGE(""https://docs.google.com/spreadsheets/d/1Yj_ptqi66GCucihVvJfMjLAmec39IyEx_6qawtMGysU/edit?usp=sharing"",""สบก!BB40"")"),21725)</f>
        <v>21725</v>
      </c>
      <c r="O122" s="169">
        <f ca="1">IF(L122&gt;0,N122*100/L122,0)</f>
        <v>26.352498786996602</v>
      </c>
      <c r="P122" s="169">
        <f ca="1">IF(M122&gt;0,N122*100/M122,0)</f>
        <v>26.352498786996602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61625</v>
      </c>
      <c r="N140" s="152">
        <f t="shared" ca="1" si="64"/>
        <v>2800</v>
      </c>
      <c r="O140" s="151">
        <f t="shared" ref="O140:O142" ca="1" si="65">IF(L140&gt;0,N140*100/L140,0)</f>
        <v>3.3734939759036147</v>
      </c>
      <c r="P140" s="151">
        <f t="shared" ref="P140:P142" ca="1" si="66">IF(M140&gt;0,N140*100/M140,0)</f>
        <v>4.5436105476673427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61625</v>
      </c>
      <c r="N142" s="157">
        <f t="shared" ca="1" si="68"/>
        <v>2800</v>
      </c>
      <c r="O142" s="156">
        <f t="shared" ca="1" si="65"/>
        <v>3.3734939759036147</v>
      </c>
      <c r="P142" s="156">
        <f t="shared" ca="1" si="66"/>
        <v>4.5436105476673427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IFERROR(__xludf.DUMMYFUNCTION("IMPORTRANGE(""https://docs.google.com/spreadsheets/d/1Yj_ptqi66GCucihVvJfMjLAmec39IyEx_6qawtMGysU/edit?usp=sharing"",""สบก!BJ40"")"),61625)</f>
        <v>61625</v>
      </c>
      <c r="N144" s="169">
        <f ca="1">IFERROR(__xludf.DUMMYFUNCTION("IMPORTRANGE(""https://docs.google.com/spreadsheets/d/1Yj_ptqi66GCucihVvJfMjLAmec39IyEx_6qawtMGysU/edit?usp=sharing"",""สบก!BK40"")"),2800)</f>
        <v>2800</v>
      </c>
      <c r="O144" s="169">
        <f ca="1">IF(L144&gt;0,N144*100/L144,0)</f>
        <v>3.3734939759036147</v>
      </c>
      <c r="P144" s="169">
        <f ca="1">IF(M144&gt;0,N144*100/M144,0)</f>
        <v>4.5436105476673427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IFERROR(__xludf.DUMMYFUNCTION("IMPORTRANGE(""https://docs.google.com/spreadsheets/d/1XL5vhW3sbDhbH9Cz0tuDiY8C3ctxq1tqvaCgkFb8cCA/edit?usp=sharing"",""ชัยภูมิ!J83"")"),1)</f>
        <v>1</v>
      </c>
      <c r="K158" s="163">
        <f ca="1">IF(I158&gt;0,J158*100/I158,0)</f>
        <v>25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IFERROR(__xludf.DUMMYFUNCTION("IMPORTRANGE(""https://docs.google.com/spreadsheets/d/1XL5vhW3sbDhbH9Cz0tuDiY8C3ctxq1tqvaCgkFb8cCA/edit?usp=sharing"",""ชัยภูมิ!J89"")"),0)</f>
        <v>0</v>
      </c>
      <c r="K164" s="286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230250</v>
      </c>
      <c r="N271" s="152">
        <f t="shared" ca="1" si="83"/>
        <v>152588</v>
      </c>
      <c r="O271" s="151">
        <f t="shared" ref="O271:O273" ca="1" si="84">IF(L271&gt;0,N271*100/L271,0)</f>
        <v>47.803258145363408</v>
      </c>
      <c r="P271" s="151">
        <f t="shared" ref="P271:P273" ca="1" si="85">IF(M271&gt;0,N271*100/M271,0)</f>
        <v>66.270575461454939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230250</v>
      </c>
      <c r="N273" s="157">
        <f t="shared" ca="1" si="87"/>
        <v>152588</v>
      </c>
      <c r="O273" s="156">
        <f t="shared" ca="1" si="84"/>
        <v>47.803258145363408</v>
      </c>
      <c r="P273" s="156">
        <f t="shared" ca="1" si="85"/>
        <v>66.270575461454939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IFERROR(__xludf.DUMMYFUNCTION("IMPORTRANGE(""https://docs.google.com/spreadsheets/d/1Yj_ptqi66GCucihVvJfMjLAmec39IyEx_6qawtMGysU/edit?usp=sharing"",""สบก!CK40"")"),230250)</f>
        <v>230250</v>
      </c>
      <c r="N275" s="169">
        <f ca="1">IFERROR(__xludf.DUMMYFUNCTION("IMPORTRANGE(""https://docs.google.com/spreadsheets/d/1Yj_ptqi66GCucihVvJfMjLAmec39IyEx_6qawtMGysU/edit?usp=sharing"",""สบก!CL40"")"),152588)</f>
        <v>152588</v>
      </c>
      <c r="O275" s="169">
        <f ca="1">IF(L275&gt;0,N275*100/L275,0)</f>
        <v>47.803258145363408</v>
      </c>
      <c r="P275" s="169">
        <f ca="1">IF(M275&gt;0,N275*100/M275,0)</f>
        <v>66.270575461454939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IFERROR(__xludf.DUMMYFUNCTION("IMPORTRANGE(""https://docs.google.com/spreadsheets/d/1XL5vhW3sbDhbH9Cz0tuDiY8C3ctxq1tqvaCgkFb8cCA/edit?usp=sharing"",""ชัยภูมิ!J228"")"),98)</f>
        <v>98</v>
      </c>
      <c r="K328" s="318">
        <f ca="1">IF(I328&gt;0,J328*100/I328,0)</f>
        <v>10.652173913043478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1656660</v>
      </c>
      <c r="N329" s="152">
        <f t="shared" ca="1" si="98"/>
        <v>1524070.2</v>
      </c>
      <c r="O329" s="151">
        <f t="shared" ref="O329:O331" ca="1" si="99">IF(L329&gt;0,N329*100/L329,0)</f>
        <v>69.679106831804035</v>
      </c>
      <c r="P329" s="151">
        <f t="shared" ref="P329:P331" ca="1" si="100">IF(M329&gt;0,N329*100/M329,0)</f>
        <v>91.996559342291121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1656660</v>
      </c>
      <c r="N331" s="157">
        <f t="shared" ca="1" si="102"/>
        <v>1524070.2</v>
      </c>
      <c r="O331" s="156">
        <f t="shared" ca="1" si="99"/>
        <v>69.679106831804035</v>
      </c>
      <c r="P331" s="156">
        <f t="shared" ca="1" si="100"/>
        <v>91.996559342291121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IFERROR(__xludf.DUMMYFUNCTION("IMPORTRANGE(""https://docs.google.com/spreadsheets/d/1Yj_ptqi66GCucihVvJfMjLAmec39IyEx_6qawtMGysU/edit?usp=sharing"",""สบก!DL40"")"),1656660)</f>
        <v>1656660</v>
      </c>
      <c r="N333" s="169">
        <f ca="1">IFERROR(__xludf.DUMMYFUNCTION("IMPORTRANGE(""https://docs.google.com/spreadsheets/d/1Yj_ptqi66GCucihVvJfMjLAmec39IyEx_6qawtMGysU/edit?usp=sharing"",""สบก!DM40"")"),1524070.2)</f>
        <v>1524070.2</v>
      </c>
      <c r="O333" s="169">
        <f ca="1">IF(L333&gt;0,N333*100/L333,0)</f>
        <v>69.679106831804035</v>
      </c>
      <c r="P333" s="169">
        <f ca="1">IF(M333&gt;0,N333*100/M333,0)</f>
        <v>91.996559342291121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IFERROR(__xludf.DUMMYFUNCTION("IMPORTRANGE(""https://docs.google.com/spreadsheets/d/1XL5vhW3sbDhbH9Cz0tuDiY8C3ctxq1tqvaCgkFb8cCA/edit?usp=sharing"",""ชัยภูมิ!J234"")"),485)</f>
        <v>485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IFERROR(__xludf.DUMMYFUNCTION("IMPORTRANGE(""https://docs.google.com/spreadsheets/d/1XL5vhW3sbDhbH9Cz0tuDiY8C3ctxq1tqvaCgkFb8cCA/edit?usp=sharing"",""ชัยภูมิ!J235"")"),4840.78)</f>
        <v>4840.78</v>
      </c>
      <c r="K340" s="343">
        <f t="shared" ca="1" si="103"/>
        <v>44.007090909090913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IFERROR(__xludf.DUMMYFUNCTION("IMPORTRANGE(""https://docs.google.com/spreadsheets/d/1XL5vhW3sbDhbH9Cz0tuDiY8C3ctxq1tqvaCgkFb8cCA/edit?usp=sharing"",""ชัยภูมิ!J236"")"),338)</f>
        <v>338</v>
      </c>
      <c r="K341" s="343">
        <f t="shared" ca="1" si="103"/>
        <v>36.739130434782609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IFERROR(__xludf.DUMMYFUNCTION("IMPORTRANGE(""https://docs.google.com/spreadsheets/d/1XL5vhW3sbDhbH9Cz0tuDiY8C3ctxq1tqvaCgkFb8cCA/edit?usp=sharing"",""ชัยภูมิ!J237"")"),4637.59)</f>
        <v>4637.59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IFERROR(__xludf.DUMMYFUNCTION("IMPORTRANGE(""https://docs.google.com/spreadsheets/d/1XL5vhW3sbDhbH9Cz0tuDiY8C3ctxq1tqvaCgkFb8cCA/edit?usp=sharing"",""ชัยภูมิ!J240"")"),98)</f>
        <v>98</v>
      </c>
      <c r="K345" s="343">
        <f t="shared" ca="1" si="103"/>
        <v>10.652173913043478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IFERROR(__xludf.DUMMYFUNCTION("IMPORTRANGE(""https://docs.google.com/spreadsheets/d/1XL5vhW3sbDhbH9Cz0tuDiY8C3ctxq1tqvaCgkFb8cCA/edit?usp=sharing"",""ชัยภูมิ!J241"")"),1644.07)</f>
        <v>1644.07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IFERROR(__xludf.DUMMYFUNCTION("IMPORTRANGE(""https://docs.google.com/spreadsheets/d/1XL5vhW3sbDhbH9Cz0tuDiY8C3ctxq1tqvaCgkFb8cCA/edit?usp=sharing"",""ชัยภูมิ!L242"")"),2064483)</f>
        <v>2064483</v>
      </c>
      <c r="M347" s="358"/>
      <c r="N347" s="358">
        <f ca="1">IFERROR(__xludf.DUMMYFUNCTION("IMPORTRANGE(""https://docs.google.com/spreadsheets/d/1XL5vhW3sbDhbH9Cz0tuDiY8C3ctxq1tqvaCgkFb8cCA/edit?usp=sharing"",""ชัยภูมิ!M242"")"),493992.1)</f>
        <v>493992.1</v>
      </c>
      <c r="O347" s="358">
        <f ca="1">+IF(L347&gt;0,N347*100/L347,0)</f>
        <v>23.928126315401968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IFERROR(__xludf.DUMMYFUNCTION("IMPORTRANGE(""https://docs.google.com/spreadsheets/d/1XL5vhW3sbDhbH9Cz0tuDiY8C3ctxq1tqvaCgkFb8cCA/edit?usp=sharing"",""ชัยภูมิ!M275"")"),144398)</f>
        <v>144398</v>
      </c>
      <c r="O380" s="373">
        <f ca="1">+IF(L380&gt;0,N380*100/L380,0)</f>
        <v>14.039396414265157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IFERROR(__xludf.DUMMYFUNCTION("IMPORTRANGE(""https://docs.google.com/spreadsheets/d/1XL5vhW3sbDhbH9Cz0tuDiY8C3ctxq1tqvaCgkFb8cCA/edit?usp=sharing"",""ชัยภูมิ!M278"")"),144398)</f>
        <v>144398</v>
      </c>
      <c r="O383" s="165">
        <f t="shared" ca="1" si="109"/>
        <v>14.039396414265157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IFERROR(__xludf.DUMMYFUNCTION("IMPORTRANGE(""https://docs.google.com/spreadsheets/d/1XL5vhW3sbDhbH9Cz0tuDiY8C3ctxq1tqvaCgkFb8cCA/edit?usp=sharing"",""ชัยภูมิ!M280"")"),144398)</f>
        <v>144398</v>
      </c>
      <c r="O385" s="169">
        <f t="shared" ca="1" si="109"/>
        <v>14.039396414265157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IFERROR(__xludf.DUMMYFUNCTION("IMPORTRANGE(""https://docs.google.com/spreadsheets/d/1XL5vhW3sbDhbH9Cz0tuDiY8C3ctxq1tqvaCgkFb8cCA/edit?usp=sharing"",""ชัยภูมิ!M283"")"),59529)</f>
        <v>59529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IFERROR(__xludf.DUMMYFUNCTION("IMPORTRANGE(""https://docs.google.com/spreadsheets/d/1XL5vhW3sbDhbH9Cz0tuDiY8C3ctxq1tqvaCgkFb8cCA/edit?usp=sharing"",""ชัยภูมิ!M296"")"),67813)</f>
        <v>67813</v>
      </c>
      <c r="O401" s="373">
        <f ca="1">+IF(L401&gt;0,N401*100/L401,0)</f>
        <v>66.535518053375199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IFERROR(__xludf.DUMMYFUNCTION("IMPORTRANGE(""https://docs.google.com/spreadsheets/d/1XL5vhW3sbDhbH9Cz0tuDiY8C3ctxq1tqvaCgkFb8cCA/edit?usp=sharing"",""ชัยภูมิ!M299"")"),67813)</f>
        <v>67813</v>
      </c>
      <c r="O404" s="169">
        <f t="shared" ca="1" si="112"/>
        <v>66.535518053375199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IFERROR(__xludf.DUMMYFUNCTION("IMPORTRANGE(""https://docs.google.com/spreadsheets/d/1XL5vhW3sbDhbH9Cz0tuDiY8C3ctxq1tqvaCgkFb8cCA/edit?usp=sharing"",""ชัยภูมิ!M301"")"),67813)</f>
        <v>67813</v>
      </c>
      <c r="O406" s="169">
        <f t="shared" ca="1" si="112"/>
        <v>66.535518053375199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IFERROR(__xludf.DUMMYFUNCTION("IMPORTRANGE(""https://docs.google.com/spreadsheets/d/1XL5vhW3sbDhbH9Cz0tuDiY8C3ctxq1tqvaCgkFb8cCA/edit?usp=sharing"",""ชัยภูมิ!M302"")"),15833)</f>
        <v>15833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IFERROR(__xludf.DUMMYFUNCTION("IMPORTRANGE(""https://docs.google.com/spreadsheets/d/1XL5vhW3sbDhbH9Cz0tuDiY8C3ctxq1tqvaCgkFb8cCA/edit?usp=sharing"",""ชัยภูมิ!M305"")"),51980)</f>
        <v>51980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IFERROR(__xludf.DUMMYFUNCTION("IMPORTRANGE(""https://docs.google.com/spreadsheets/d/1XL5vhW3sbDhbH9Cz0tuDiY8C3ctxq1tqvaCgkFb8cCA/edit?usp=sharing"",""ชัยภูมิ!M330"")"),72798)</f>
        <v>72798</v>
      </c>
      <c r="O435" s="412">
        <f t="shared" ref="O435:O439" ca="1" si="114">+IF(L435&gt;0,N435*100/L435,0)</f>
        <v>68.677358490566036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IFERROR(__xludf.DUMMYFUNCTION("IMPORTRANGE(""https://docs.google.com/spreadsheets/d/1XL5vhW3sbDhbH9Cz0tuDiY8C3ctxq1tqvaCgkFb8cCA/edit?usp=sharing"",""ชัยภูมิ!M332"")"),72798)</f>
        <v>72798</v>
      </c>
      <c r="O437" s="169">
        <f t="shared" ca="1" si="114"/>
        <v>68.677358490566036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IFERROR(__xludf.DUMMYFUNCTION("IMPORTRANGE(""https://docs.google.com/spreadsheets/d/1XL5vhW3sbDhbH9Cz0tuDiY8C3ctxq1tqvaCgkFb8cCA/edit?usp=sharing"",""ชัยภูมิ!M334"")"),72798)</f>
        <v>72798</v>
      </c>
      <c r="O439" s="169">
        <f t="shared" ca="1" si="114"/>
        <v>68.677358490566036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IFERROR(__xludf.DUMMYFUNCTION("IMPORTRANGE(""https://docs.google.com/spreadsheets/d/1XL5vhW3sbDhbH9Cz0tuDiY8C3ctxq1tqvaCgkFb8cCA/edit?usp=sharing"",""ชัยภูมิ!M338"")"),67798)</f>
        <v>67798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IFERROR(__xludf.DUMMYFUNCTION("IMPORTRANGE(""https://docs.google.com/spreadsheets/d/1XL5vhW3sbDhbH9Cz0tuDiY8C3ctxq1tqvaCgkFb8cCA/edit?usp=sharing"",""ชัยภูมิ!L350"")"),610203)</f>
        <v>610203</v>
      </c>
      <c r="M455" s="373"/>
      <c r="N455" s="373">
        <f ca="1">IFERROR(__xludf.DUMMYFUNCTION("IMPORTRANGE(""https://docs.google.com/spreadsheets/d/1XL5vhW3sbDhbH9Cz0tuDiY8C3ctxq1tqvaCgkFb8cCA/edit?usp=sharing"",""ชัยภูมิ!M350"")"),159311.1)</f>
        <v>159311.1</v>
      </c>
      <c r="O455" s="373">
        <f t="shared" ref="O455:O459" ca="1" si="116">+IF(L455&gt;0,N455*100/L455,0)</f>
        <v>26.107885408626309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IFERROR(__xludf.DUMMYFUNCTION("IMPORTRANGE(""https://docs.google.com/spreadsheets/d/1XL5vhW3sbDhbH9Cz0tuDiY8C3ctxq1tqvaCgkFb8cCA/edit?usp=sharing"",""ชัยภูมิ!L352"")"),610203)</f>
        <v>610203</v>
      </c>
      <c r="M457" s="165"/>
      <c r="N457" s="169">
        <f ca="1">IFERROR(__xludf.DUMMYFUNCTION("IMPORTRANGE(""https://docs.google.com/spreadsheets/d/1XL5vhW3sbDhbH9Cz0tuDiY8C3ctxq1tqvaCgkFb8cCA/edit?usp=sharing"",""ชัยภูมิ!M352"")"),159311.1)</f>
        <v>159311.1</v>
      </c>
      <c r="O457" s="169">
        <f t="shared" ca="1" si="116"/>
        <v>26.107885408626309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IFERROR(__xludf.DUMMYFUNCTION("IMPORTRANGE(""https://docs.google.com/spreadsheets/d/1XL5vhW3sbDhbH9Cz0tuDiY8C3ctxq1tqvaCgkFb8cCA/edit?usp=sharing"",""ชัยภูมิ!L354"")"),610203)</f>
        <v>610203</v>
      </c>
      <c r="M459" s="169"/>
      <c r="N459" s="169">
        <f ca="1">IFERROR(__xludf.DUMMYFUNCTION("IMPORTRANGE(""https://docs.google.com/spreadsheets/d/1XL5vhW3sbDhbH9Cz0tuDiY8C3ctxq1tqvaCgkFb8cCA/edit?usp=sharing"",""ชัยภูมิ!M354"")"),159311.1)</f>
        <v>159311.1</v>
      </c>
      <c r="O459" s="169">
        <f t="shared" ca="1" si="116"/>
        <v>26.107885408626309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IFERROR(__xludf.DUMMYFUNCTION("IMPORTRANGE(""https://docs.google.com/spreadsheets/d/1XL5vhW3sbDhbH9Cz0tuDiY8C3ctxq1tqvaCgkFb8cCA/edit?usp=sharing"",""ชัยภูมิ!M358"")"),159311.1)</f>
        <v>159311.1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IFERROR(__xludf.DUMMYFUNCTION("IMPORTRANGE(""https://docs.google.com/spreadsheets/d/1XL5vhW3sbDhbH9Cz0tuDiY8C3ctxq1tqvaCgkFb8cCA/edit?usp=sharing"",""ชัยภูมิ!I420"")"),0)</f>
        <v>0</v>
      </c>
      <c r="J525" s="285">
        <f ca="1">IFERROR(__xludf.DUMMYFUNCTION("IMPORTRANGE(""https://docs.google.com/spreadsheets/d/1XL5vhW3sbDhbH9Cz0tuDiY8C3ctxq1tqvaCgkFb8cCA/edit?usp=sharing"",""ชัยภูมิ!J420"")"),0)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IFERROR(__xludf.DUMMYFUNCTION("IMPORTRANGE(""https://docs.google.com/spreadsheets/d/1XL5vhW3sbDhbH9Cz0tuDiY8C3ctxq1tqvaCgkFb8cCA/edit?usp=sharing"",""ชัยภูมิ!I421"")"),0)</f>
        <v>0</v>
      </c>
      <c r="J526" s="285">
        <f ca="1">IFERROR(__xludf.DUMMYFUNCTION("IMPORTRANGE(""https://docs.google.com/spreadsheets/d/1XL5vhW3sbDhbH9Cz0tuDiY8C3ctxq1tqvaCgkFb8cCA/edit?usp=sharing"",""ชัยภูมิ!J421"")"),0)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IFERROR(__xludf.DUMMYFUNCTION("IMPORTRANGE(""https://docs.google.com/spreadsheets/d/1XL5vhW3sbDhbH9Cz0tuDiY8C3ctxq1tqvaCgkFb8cCA/edit?usp=sharing"",""ชัยภูมิ!M430"")"),27634)</f>
        <v>27634</v>
      </c>
      <c r="O535" s="169">
        <f t="shared" ca="1" si="118"/>
        <v>73.222045574986751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IFERROR(__xludf.DUMMYFUNCTION("IMPORTRANGE(""https://docs.google.com/spreadsheets/d/1XL5vhW3sbDhbH9Cz0tuDiY8C3ctxq1tqvaCgkFb8cCA/edit?usp=sharing"",""ชัยภูมิ!M432"")"),27634)</f>
        <v>27634</v>
      </c>
      <c r="O537" s="169">
        <f t="shared" ca="1" si="118"/>
        <v>73.222045574986751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IFERROR(__xludf.DUMMYFUNCTION("IMPORTRANGE(""https://docs.google.com/spreadsheets/d/1XL5vhW3sbDhbH9Cz0tuDiY8C3ctxq1tqvaCgkFb8cCA/edit?usp=sharing"",""ชัยภูมิ!J459"")"),6238)</f>
        <v>6238</v>
      </c>
      <c r="K564" s="372">
        <f ca="1">IF(I564&gt;0,J564*100/I564,0)</f>
        <v>135.60869565217391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IFERROR(__xludf.DUMMYFUNCTION("IMPORTRANGE(""https://docs.google.com/spreadsheets/d/1XL5vhW3sbDhbH9Cz0tuDiY8C3ctxq1tqvaCgkFb8cCA/edit?usp=sharing"",""ชัยภูมิ!M461"")"),21318)</f>
        <v>21318</v>
      </c>
      <c r="O566" s="169">
        <f t="shared" ca="1" si="122"/>
        <v>12.336805555555555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IFERROR(__xludf.DUMMYFUNCTION("IMPORTRANGE(""https://docs.google.com/spreadsheets/d/1XL5vhW3sbDhbH9Cz0tuDiY8C3ctxq1tqvaCgkFb8cCA/edit?usp=sharing"",""ชัยภูมิ!M463"")"),21318)</f>
        <v>21318</v>
      </c>
      <c r="O568" s="169">
        <f t="shared" ca="1" si="122"/>
        <v>12.336805555555555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IFERROR(__xludf.DUMMYFUNCTION("IMPORTRANGE(""https://docs.google.com/spreadsheets/d/1XL5vhW3sbDhbH9Cz0tuDiY8C3ctxq1tqvaCgkFb8cCA/edit?usp=sharing"",""ชัยภูมิ!J468"")"),6238)</f>
        <v>6238</v>
      </c>
      <c r="K573" s="202">
        <f ca="1">IF(I573&gt;0,J573*100/I573,0)</f>
        <v>135.60869565217391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IFERROR(__xludf.DUMMYFUNCTION("IMPORTRANGE(""https://docs.google.com/spreadsheets/d/1XL5vhW3sbDhbH9Cz0tuDiY8C3ctxq1tqvaCgkFb8cCA/edit?usp=sharing"",""ชัยภูมิ!J471"")"),288)</f>
        <v>288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IFERROR(__xludf.DUMMYFUNCTION("IMPORTRANGE(""https://docs.google.com/spreadsheets/d/1XL5vhW3sbDhbH9Cz0tuDiY8C3ctxq1tqvaCgkFb8cCA/edit?usp=sharing"",""ชัยภูมิ!J472"")"),5916)</f>
        <v>5916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IFERROR(__xludf.DUMMYFUNCTION("IMPORTRANGE(""https://docs.google.com/spreadsheets/d/1XL5vhW3sbDhbH9Cz0tuDiY8C3ctxq1tqvaCgkFb8cCA/edit?usp=sharing"",""ชัยภูมิ!L494"")"),7300)</f>
        <v>7300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9.8630136986301373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IFERROR(__xludf.DUMMYFUNCTION("IMPORTRANGE(""https://docs.google.com/spreadsheets/d/1XL5vhW3sbDhbH9Cz0tuDiY8C3ctxq1tqvaCgkFb8cCA/edit?usp=sharing"",""ชัยภูมิ!L496"")"),7300)</f>
        <v>7300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9.8630136986301373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IFERROR(__xludf.DUMMYFUNCTION("IMPORTRANGE(""https://docs.google.com/spreadsheets/d/1XL5vhW3sbDhbH9Cz0tuDiY8C3ctxq1tqvaCgkFb8cCA/edit?usp=sharing"",""ชัยภูมิ!J523"")"),2454227.18)</f>
        <v>2454227.1800000002</v>
      </c>
      <c r="K628" s="343">
        <f t="shared" ref="K628:K635" ca="1" si="129">IF(I628&gt;0,J628*100/I628,0)</f>
        <v>61.355679500000008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IFERROR(__xludf.DUMMYFUNCTION("IMPORTRANGE(""https://docs.google.com/spreadsheets/d/1XL5vhW3sbDhbH9Cz0tuDiY8C3ctxq1tqvaCgkFb8cCA/edit?usp=sharing"",""ชัยภูมิ!J524"")"),81)</f>
        <v>81</v>
      </c>
      <c r="K629" s="343">
        <f t="shared" ca="1" si="129"/>
        <v>62.790697674418603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IFERROR(__xludf.DUMMYFUNCTION("IMPORTRANGE(""https://docs.google.com/spreadsheets/d/1XL5vhW3sbDhbH9Cz0tuDiY8C3ctxq1tqvaCgkFb8cCA/edit?usp=sharing"",""ชัยภูมิ!J525"")"),439798.88)</f>
        <v>439798.88</v>
      </c>
      <c r="K630" s="343">
        <f t="shared" ca="1" si="129"/>
        <v>5.3449956330678958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IFERROR(__xludf.DUMMYFUNCTION("IMPORTRANGE(""https://docs.google.com/spreadsheets/d/1XL5vhW3sbDhbH9Cz0tuDiY8C3ctxq1tqvaCgkFb8cCA/edit?usp=sharing"",""ชัยภูมิ!J526"")"),68)</f>
        <v>68</v>
      </c>
      <c r="K631" s="343">
        <f t="shared" ca="1" si="129"/>
        <v>18.994413407821231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IFERROR(__xludf.DUMMYFUNCTION("IMPORTRANGE(""https://docs.google.com/spreadsheets/d/1XL5vhW3sbDhbH9Cz0tuDiY8C3ctxq1tqvaCgkFb8cCA/edit?usp=sharing"",""ชัยภูมิ!J527"")"),1221319.77)</f>
        <v>1221319.77</v>
      </c>
      <c r="K632" s="343">
        <f t="shared" ca="1" si="129"/>
        <v>136.71205673025312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IFERROR(__xludf.DUMMYFUNCTION("IMPORTRANGE(""https://docs.google.com/spreadsheets/d/1XL5vhW3sbDhbH9Cz0tuDiY8C3ctxq1tqvaCgkFb8cCA/edit?usp=sharing"",""ชัยภูมิ!J528"")"),25)</f>
        <v>25</v>
      </c>
      <c r="K633" s="343">
        <f t="shared" ca="1" si="129"/>
        <v>277.77777777777777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IFERROR(__xludf.DUMMYFUNCTION("IMPORTRANGE(""https://docs.google.com/spreadsheets/d/1XL5vhW3sbDhbH9Cz0tuDiY8C3ctxq1tqvaCgkFb8cCA/edit?usp=sharing"",""ชัยภูมิ!J529"")"),2840000)</f>
        <v>2840000</v>
      </c>
      <c r="K634" s="343">
        <f t="shared" ca="1" si="129"/>
        <v>94.666666666666671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IFERROR(__xludf.DUMMYFUNCTION("IMPORTRANGE(""https://docs.google.com/spreadsheets/d/1XL5vhW3sbDhbH9Cz0tuDiY8C3ctxq1tqvaCgkFb8cCA/edit?usp=sharing"",""ชัยภูมิ!J530"")"),85)</f>
        <v>85</v>
      </c>
      <c r="K635" s="486">
        <f t="shared" ca="1" si="129"/>
        <v>85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840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840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840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IFERROR(__xludf.DUMMYFUNCTION("IMPORTRANGE(""https://docs.google.com/spreadsheets/d/1XL5vhW3sbDhbH9Cz0tuDiY8C3ctxq1tqvaCgkFb8cCA/edit#gid=346597447"",""ชัยภูมิ!J541"")"),0)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IFERROR(__xludf.DUMMYFUNCTION("IMPORTRANGE(""https://docs.google.com/spreadsheets/d/1XL5vhW3sbDhbH9Cz0tuDiY8C3ctxq1tqvaCgkFb8cCA/edit#gid=346597447"",""ชัยภูมิ!J542"")"),0)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IFERROR(__xludf.DUMMYFUNCTION("IMPORTRANGE(""https://docs.google.com/spreadsheets/d/1XL5vhW3sbDhbH9Cz0tuDiY8C3ctxq1tqvaCgkFb8cCA/edit#gid=346597447"",""ชัยภูมิ!I543"")"),0)</f>
        <v>0</v>
      </c>
      <c r="J648" s="585">
        <f ca="1">IFERROR(__xludf.DUMMYFUNCTION("IMPORTRANGE(""https://docs.google.com/spreadsheets/d/1XL5vhW3sbDhbH9Cz0tuDiY8C3ctxq1tqvaCgkFb8cCA/edit#gid=346597447"",""ชัยภูมิ!J543"")"),0)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IFERROR(__xludf.DUMMYFUNCTION("IMPORTRANGE(""https://docs.google.com/spreadsheets/d/1XL5vhW3sbDhbH9Cz0tuDiY8C3ctxq1tqvaCgkFb8cCA/edit#gid=346597447"",""ชัยภูมิ!L543"")"),0)</f>
        <v>0</v>
      </c>
      <c r="M648" s="570"/>
      <c r="N648" s="587">
        <f ca="1">IFERROR(__xludf.DUMMYFUNCTION("IMPORTRANGE(""https://docs.google.com/spreadsheets/d/1XL5vhW3sbDhbH9Cz0tuDiY8C3ctxq1tqvaCgkFb8cCA/edit#gid=346597447"",""ชัยภูมิ!M543"")"),0)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IFERROR(__xludf.DUMMYFUNCTION("IMPORTRANGE(""https://docs.google.com/spreadsheets/d/1XL5vhW3sbDhbH9Cz0tuDiY8C3ctxq1tqvaCgkFb8cCA/edit#gid=346597447"",""ชัยภูมิ!I544"")"),7)</f>
        <v>7</v>
      </c>
      <c r="J649" s="585">
        <f ca="1">IFERROR(__xludf.DUMMYFUNCTION("IMPORTRANGE(""https://docs.google.com/spreadsheets/d/1XL5vhW3sbDhbH9Cz0tuDiY8C3ctxq1tqvaCgkFb8cCA/edit#gid=346597447"",""ชัยภูมิ!J544"")"),0)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IFERROR(__xludf.DUMMYFUNCTION("IMPORTRANGE(""https://docs.google.com/spreadsheets/d/1XL5vhW3sbDhbH9Cz0tuDiY8C3ctxq1tqvaCgkFb8cCA/edit#gid=346597447"",""ชัยภูมิ!L544"")"),840)</f>
        <v>840</v>
      </c>
      <c r="M649" s="570"/>
      <c r="N649" s="587">
        <f ca="1">IFERROR(__xludf.DUMMYFUNCTION("IMPORTRANGE(""https://docs.google.com/spreadsheets/d/1XL5vhW3sbDhbH9Cz0tuDiY8C3ctxq1tqvaCgkFb8cCA/edit#gid=346597447"",""ชัยภูมิ!M544"")"),0)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IFERROR(__xludf.DUMMYFUNCTION("IMPORTRANGE(""https://docs.google.com/spreadsheets/d/1XL5vhW3sbDhbH9Cz0tuDiY8C3ctxq1tqvaCgkFb8cCA/edit#gid=346597447"",""ชัยภูมิ!I545"")"),0)</f>
        <v>0</v>
      </c>
      <c r="J650" s="585">
        <f ca="1">IFERROR(__xludf.DUMMYFUNCTION("IMPORTRANGE(""https://docs.google.com/spreadsheets/d/1XL5vhW3sbDhbH9Cz0tuDiY8C3ctxq1tqvaCgkFb8cCA/edit#gid=346597447"",""ชัยภูมิ!J545"")"),0)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IFERROR(__xludf.DUMMYFUNCTION("IMPORTRANGE(""https://docs.google.com/spreadsheets/d/1XL5vhW3sbDhbH9Cz0tuDiY8C3ctxq1tqvaCgkFb8cCA/edit#gid=346597447"",""ชัยภูมิ!L545"")"),0)</f>
        <v>0</v>
      </c>
      <c r="M650" s="570"/>
      <c r="N650" s="587">
        <f ca="1">IFERROR(__xludf.DUMMYFUNCTION("IMPORTRANGE(""https://docs.google.com/spreadsheets/d/1XL5vhW3sbDhbH9Cz0tuDiY8C3ctxq1tqvaCgkFb8cCA/edit#gid=346597447"",""ชัยภูมิ!M545"")"),0)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IFERROR(__xludf.DUMMYFUNCTION("IMPORTRANGE(""https://docs.google.com/spreadsheets/d/1XL5vhW3sbDhbH9Cz0tuDiY8C3ctxq1tqvaCgkFb8cCA/edit#gid=346597447"",""ชัยภูมิ!I546"")"),0)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IFERROR(__xludf.DUMMYFUNCTION("IMPORTRANGE(""https://docs.google.com/spreadsheets/d/1XL5vhW3sbDhbH9Cz0tuDiY8C3ctxq1tqvaCgkFb8cCA/edit#gid=346597447"",""ชัยภูมิ!L546"")"),0)</f>
        <v>0</v>
      </c>
      <c r="M651" s="570"/>
      <c r="N651" s="587">
        <f ca="1">IFERROR(__xludf.DUMMYFUNCTION("IMPORTRANGE(""https://docs.google.com/spreadsheets/d/1XL5vhW3sbDhbH9Cz0tuDiY8C3ctxq1tqvaCgkFb8cCA/edit#gid=346597447"",""ชัยภูมิ!M546"")"),0)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IFERROR(__xludf.DUMMYFUNCTION("IMPORTRANGE(""https://docs.google.com/spreadsheets/d/1XL5vhW3sbDhbH9Cz0tuDiY8C3ctxq1tqvaCgkFb8cCA/edit#gid=346597447"",""ชัยภูมิ!J547"")"),0)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IFERROR(__xludf.DUMMYFUNCTION("IMPORTRANGE(""https://docs.google.com/spreadsheets/d/1XL5vhW3sbDhbH9Cz0tuDiY8C3ctxq1tqvaCgkFb8cCA/edit#gid=346597447"",""ชัยภูมิ!J548"")"),0)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IFERROR(__xludf.DUMMYFUNCTION("IMPORTRANGE(""https://docs.google.com/spreadsheets/d/1XL5vhW3sbDhbH9Cz0tuDiY8C3ctxq1tqvaCgkFb8cCA/edit#gid=346597447"",""ชัยภูมิ!J550"")"),0)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IFERROR(__xludf.DUMMYFUNCTION("IMPORTRANGE(""https://docs.google.com/spreadsheets/d/1XL5vhW3sbDhbH9Cz0tuDiY8C3ctxq1tqvaCgkFb8cCA/edit#gid=346597447"",""ชัยภูมิ!J551"")"),0)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IFERROR(__xludf.DUMMYFUNCTION("IMPORTRANGE(""https://docs.google.com/spreadsheets/d/1XL5vhW3sbDhbH9Cz0tuDiY8C3ctxq1tqvaCgkFb8cCA/edit#gid=346597447"",""ชัยภูมิ!J552"")"),0)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IFERROR(__xludf.DUMMYFUNCTION("IMPORTRANGE(""https://docs.google.com/spreadsheets/d/1XL5vhW3sbDhbH9Cz0tuDiY8C3ctxq1tqvaCgkFb8cCA/edit#gid=346597447"",""ชัยภูมิ!J553"")"),0)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IFERROR(__xludf.DUMMYFUNCTION("IMPORTRANGE(""https://docs.google.com/spreadsheets/d/1XL5vhW3sbDhbH9Cz0tuDiY8C3ctxq1tqvaCgkFb8cCA/edit#gid=346597447"",""ชัยภูมิ!J554"")"),0)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IFERROR(__xludf.DUMMYFUNCTION("IMPORTRANGE(""https://docs.google.com/spreadsheets/d/1XL5vhW3sbDhbH9Cz0tuDiY8C3ctxq1tqvaCgkFb8cCA/edit#gid=346597447"",""ชัยภูมิ!J555"")"),0)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IFERROR(__xludf.DUMMYFUNCTION("IMPORTRANGE(""https://docs.google.com/spreadsheets/d/1XL5vhW3sbDhbH9Cz0tuDiY8C3ctxq1tqvaCgkFb8cCA/edit#gid=346597447"",""ชัยภูมิ!J556"")"),0)</f>
        <v>0</v>
      </c>
      <c r="K661" s="586"/>
      <c r="L661" s="571">
        <f ca="1">IFERROR(__xludf.DUMMYFUNCTION("IMPORTRANGE(""https://docs.google.com/spreadsheets/d/1XL5vhW3sbDhbH9Cz0tuDiY8C3ctxq1tqvaCgkFb8cCA/edit#gid=346597447"",""ชัยภูมิ!L556"")"),0)</f>
        <v>0</v>
      </c>
      <c r="M661" s="570"/>
      <c r="N661" s="587">
        <f ca="1">IFERROR(__xludf.DUMMYFUNCTION("IMPORTRANGE(""https://docs.google.com/spreadsheets/d/1XL5vhW3sbDhbH9Cz0tuDiY8C3ctxq1tqvaCgkFb8cCA/edit#gid=346597447"",""ชัยภูมิ!M556"")"),0)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IFERROR(__xludf.DUMMYFUNCTION("IMPORTRANGE(""https://docs.google.com/spreadsheets/d/1XL5vhW3sbDhbH9Cz0tuDiY8C3ctxq1tqvaCgkFb8cCA/edit#gid=346597447"",""ชัยภูมิ!J557"")"),0)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IFERROR(__xludf.DUMMYFUNCTION("IMPORTRANGE(""https://docs.google.com/spreadsheets/d/1XL5vhW3sbDhbH9Cz0tuDiY8C3ctxq1tqvaCgkFb8cCA/edit#gid=346597447"",""ชัยภูมิ!I558"")"),0)</f>
        <v>0</v>
      </c>
      <c r="J663" s="585">
        <f ca="1">IFERROR(__xludf.DUMMYFUNCTION("IMPORTRANGE(""https://docs.google.com/spreadsheets/d/1XL5vhW3sbDhbH9Cz0tuDiY8C3ctxq1tqvaCgkFb8cCA/edit#gid=346597447"",""ชัยภูมิ!J558"")"),0)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IFERROR(__xludf.DUMMYFUNCTION("IMPORTRANGE(""https://docs.google.com/spreadsheets/d/1XL5vhW3sbDhbH9Cz0tuDiY8C3ctxq1tqvaCgkFb8cCA/edit#gid=346597447"",""ชัยภูมิ!I560"")"),0)</f>
        <v>0</v>
      </c>
      <c r="J665" s="585">
        <f ca="1">IFERROR(__xludf.DUMMYFUNCTION("IMPORTRANGE(""https://docs.google.com/spreadsheets/d/1XL5vhW3sbDhbH9Cz0tuDiY8C3ctxq1tqvaCgkFb8cCA/edit#gid=346597447"",""ชัยภูมิ!J560"")"),0)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IFERROR(__xludf.DUMMYFUNCTION("IMPORTRANGE(""https://docs.google.com/spreadsheets/d/1XL5vhW3sbDhbH9Cz0tuDiY8C3ctxq1tqvaCgkFb8cCA/edit#gid=346597447"",""ชัยภูมิ!L560"")"),0)</f>
        <v>0</v>
      </c>
      <c r="M665" s="570"/>
      <c r="N665" s="587">
        <f ca="1">IFERROR(__xludf.DUMMYFUNCTION("IMPORTRANGE(""https://docs.google.com/spreadsheets/d/1XL5vhW3sbDhbH9Cz0tuDiY8C3ctxq1tqvaCgkFb8cCA/edit#gid=346597447"",""ชัยภูมิ!M560"")"),0)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IFERROR(__xludf.DUMMYFUNCTION("IMPORTRANGE(""https://docs.google.com/spreadsheets/d/1XL5vhW3sbDhbH9Cz0tuDiY8C3ctxq1tqvaCgkFb8cCA/edit#gid=346597447"",""ชัยภูมิ!J561"")"),0)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IFERROR(__xludf.DUMMYFUNCTION("IMPORTRANGE(""https://docs.google.com/spreadsheets/d/1XL5vhW3sbDhbH9Cz0tuDiY8C3ctxq1tqvaCgkFb8cCA/edit#gid=346597447"",""ชัยภูมิ!J562"")"),0)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IFERROR(__xludf.DUMMYFUNCTION("IMPORTRANGE(""https://docs.google.com/spreadsheets/d/1XL5vhW3sbDhbH9Cz0tuDiY8C3ctxq1tqvaCgkFb8cCA/edit#gid=346597447"",""ชัยภูมิ!I563"")"),0)</f>
        <v>0</v>
      </c>
      <c r="J668" s="585">
        <f ca="1">IFERROR(__xludf.DUMMYFUNCTION("IMPORTRANGE(""https://docs.google.com/spreadsheets/d/1XL5vhW3sbDhbH9Cz0tuDiY8C3ctxq1tqvaCgkFb8cCA/edit#gid=346597447"",""ชัยภูมิ!J563"")"),0)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IFERROR(__xludf.DUMMYFUNCTION("IMPORTRANGE(""https://docs.google.com/spreadsheets/d/1XL5vhW3sbDhbH9Cz0tuDiY8C3ctxq1tqvaCgkFb8cCA/edit#gid=346597447"",""ชัยภูมิ!L563"")"),0)</f>
        <v>0</v>
      </c>
      <c r="M668" s="570"/>
      <c r="N668" s="587">
        <f ca="1">IFERROR(__xludf.DUMMYFUNCTION("IMPORTRANGE(""https://docs.google.com/spreadsheets/d/1XL5vhW3sbDhbH9Cz0tuDiY8C3ctxq1tqvaCgkFb8cCA/edit#gid=346597447"",""ชัยภูมิ!M563"")"),0)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IFERROR(__xludf.DUMMYFUNCTION("IMPORTRANGE(""https://docs.google.com/spreadsheets/d/1XL5vhW3sbDhbH9Cz0tuDiY8C3ctxq1tqvaCgkFb8cCA/edit#gid=346597447"",""ชัยภูมิ!J564"")"),0)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IFERROR(__xludf.DUMMYFUNCTION("IMPORTRANGE(""https://docs.google.com/spreadsheets/d/1XL5vhW3sbDhbH9Cz0tuDiY8C3ctxq1tqvaCgkFb8cCA/edit#gid=346597447"",""ชัยภูมิ!J565"")"),0)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IFERROR(__xludf.DUMMYFUNCTION("IMPORTRANGE(""https://docs.google.com/spreadsheets/d/1XL5vhW3sbDhbH9Cz0tuDiY8C3ctxq1tqvaCgkFb8cCA/edit#gid=346597447"",""ชัยภูมิ!I566"")"),0)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IFERROR(__xludf.DUMMYFUNCTION("IMPORTRANGE(""https://docs.google.com/spreadsheets/d/1XL5vhW3sbDhbH9Cz0tuDiY8C3ctxq1tqvaCgkFb8cCA/edit#gid=346597447"",""ชัยภูมิ!L566"")"),0)</f>
        <v>0</v>
      </c>
      <c r="M671" s="570"/>
      <c r="N671" s="587">
        <f ca="1">IFERROR(__xludf.DUMMYFUNCTION("IMPORTRANGE(""https://docs.google.com/spreadsheets/d/1XL5vhW3sbDhbH9Cz0tuDiY8C3ctxq1tqvaCgkFb8cCA/edit#gid=346597447"",""ชัยภูมิ!M566"")"),0)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IFERROR(__xludf.DUMMYFUNCTION("IMPORTRANGE(""https://docs.google.com/spreadsheets/d/1XL5vhW3sbDhbH9Cz0tuDiY8C3ctxq1tqvaCgkFb8cCA/edit#gid=346597447"",""ชัยภูมิ!J567"")"),0)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IFERROR(__xludf.DUMMYFUNCTION("IMPORTRANGE(""https://docs.google.com/spreadsheets/d/1XL5vhW3sbDhbH9Cz0tuDiY8C3ctxq1tqvaCgkFb8cCA/edit#gid=346597447"",""ชัยภูมิ!J568"")"),0)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IFERROR(__xludf.DUMMYFUNCTION("IMPORTRANGE(""https://docs.google.com/spreadsheets/d/1XL5vhW3sbDhbH9Cz0tuDiY8C3ctxq1tqvaCgkFb8cCA/edit#gid=346597447"",""ชัยภูมิ!J569"")"),0)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IFERROR(__xludf.DUMMYFUNCTION("IMPORTRANGE(""https://docs.google.com/spreadsheets/d/1XL5vhW3sbDhbH9Cz0tuDiY8C3ctxq1tqvaCgkFb8cCA/edit#gid=346597447"",""ชัยภูมิ!J570"")"),0)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IFERROR(__xludf.DUMMYFUNCTION("IMPORTRANGE(""https://docs.google.com/spreadsheets/d/1XL5vhW3sbDhbH9Cz0tuDiY8C3ctxq1tqvaCgkFb8cCA/edit#gid=346597447"",""ชัยภูมิ!J571"")"),0)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IFERROR(__xludf.DUMMYFUNCTION("IMPORTRANGE(""https://docs.google.com/spreadsheets/d/1XL5vhW3sbDhbH9Cz0tuDiY8C3ctxq1tqvaCgkFb8cCA/edit#gid=346597447"",""ชัยภูมิ!J572"")"),0)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266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6003754</v>
      </c>
      <c r="M8" s="23">
        <f t="shared" ca="1" si="0"/>
        <v>3290215</v>
      </c>
      <c r="N8" s="23">
        <f t="shared" ca="1" si="0"/>
        <v>3490371.4600000004</v>
      </c>
      <c r="O8" s="22">
        <f t="shared" ref="O8:O16" ca="1" si="1">IF(L8&gt;0,N8*100/L8,0)</f>
        <v>58.136483606756713</v>
      </c>
      <c r="P8" s="22">
        <f t="shared" ref="P8:P16" ca="1" si="2">IF(M8&gt;0,N8*100/M8,0)</f>
        <v>106.08338543225901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6003754</v>
      </c>
      <c r="M10" s="30">
        <f t="shared" ca="1" si="4"/>
        <v>3290215</v>
      </c>
      <c r="N10" s="30">
        <f t="shared" ca="1" si="4"/>
        <v>3490371.4600000004</v>
      </c>
      <c r="O10" s="29">
        <f t="shared" ca="1" si="1"/>
        <v>58.136483606756713</v>
      </c>
      <c r="P10" s="29">
        <f t="shared" ca="1" si="2"/>
        <v>106.08338543225901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5012454</v>
      </c>
      <c r="M12" s="38">
        <f t="shared" ca="1" si="6"/>
        <v>2298915</v>
      </c>
      <c r="N12" s="38">
        <f t="shared" ca="1" si="6"/>
        <v>2499071.4600000004</v>
      </c>
      <c r="O12" s="38">
        <f t="shared" ca="1" si="1"/>
        <v>49.857244774715149</v>
      </c>
      <c r="P12" s="38">
        <f t="shared" ca="1" si="2"/>
        <v>108.70656200859972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3259554</v>
      </c>
      <c r="M14" s="38">
        <f t="shared" si="8"/>
        <v>0</v>
      </c>
      <c r="N14" s="38">
        <f t="shared" ca="1" si="8"/>
        <v>662146.74000000011</v>
      </c>
      <c r="O14" s="38">
        <f t="shared" ca="1" si="1"/>
        <v>20.314028851799971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991300</v>
      </c>
      <c r="M16" s="38">
        <f t="shared" ca="1" si="10"/>
        <v>991300</v>
      </c>
      <c r="N16" s="38">
        <f t="shared" ca="1" si="10"/>
        <v>991300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3967395</v>
      </c>
      <c r="M18" s="23">
        <f t="shared" ca="1" si="11"/>
        <v>3290215</v>
      </c>
      <c r="N18" s="23">
        <f t="shared" ca="1" si="11"/>
        <v>2828224.72</v>
      </c>
      <c r="O18" s="22">
        <f t="shared" ref="O18:O20" ca="1" si="12">IF(L18&gt;0,N18*100/L18,0)</f>
        <v>71.286693661710018</v>
      </c>
      <c r="P18" s="22">
        <f t="shared" ref="P18:P26" ca="1" si="13">IF(M18&gt;0,N18*100/M18,0)</f>
        <v>85.958659844417468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3967395</v>
      </c>
      <c r="M20" s="30">
        <f t="shared" ca="1" si="15"/>
        <v>3290215</v>
      </c>
      <c r="N20" s="30">
        <f t="shared" ca="1" si="15"/>
        <v>2828224.72</v>
      </c>
      <c r="O20" s="29">
        <f t="shared" ca="1" si="12"/>
        <v>71.286693661710018</v>
      </c>
      <c r="P20" s="29">
        <f t="shared" ca="1" si="13"/>
        <v>85.958659844417468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2976095</v>
      </c>
      <c r="M22" s="41">
        <f t="shared" ca="1" si="18"/>
        <v>2298915</v>
      </c>
      <c r="N22" s="38">
        <f t="shared" ca="1" si="18"/>
        <v>1836924.7200000002</v>
      </c>
      <c r="O22" s="38">
        <f t="shared" ca="1" si="17"/>
        <v>61.722650654633007</v>
      </c>
      <c r="P22" s="38">
        <f t="shared" ca="1" si="13"/>
        <v>79.903986010792067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1223195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991300</v>
      </c>
      <c r="M26" s="49">
        <f t="shared" ca="1" si="22"/>
        <v>991300</v>
      </c>
      <c r="N26" s="49">
        <f t="shared" ca="1" si="22"/>
        <v>991300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2036359</v>
      </c>
      <c r="M28" s="23">
        <f t="shared" si="23"/>
        <v>0</v>
      </c>
      <c r="N28" s="23">
        <f t="shared" ca="1" si="23"/>
        <v>662146.74000000011</v>
      </c>
      <c r="O28" s="22">
        <f t="shared" ref="O28:O30" ca="1" si="24">IF(L28&gt;0,N28*100/L28,0)</f>
        <v>32.51620858601062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2036359</v>
      </c>
      <c r="M30" s="30">
        <f t="shared" si="27"/>
        <v>0</v>
      </c>
      <c r="N30" s="30">
        <f t="shared" ca="1" si="27"/>
        <v>662146.74000000011</v>
      </c>
      <c r="O30" s="29">
        <f t="shared" ca="1" si="24"/>
        <v>32.51620858601062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2036359</v>
      </c>
      <c r="M32" s="38">
        <f t="shared" si="30"/>
        <v>0</v>
      </c>
      <c r="N32" s="38">
        <f t="shared" ca="1" si="30"/>
        <v>662146.74000000011</v>
      </c>
      <c r="O32" s="38">
        <f t="shared" ca="1" si="29"/>
        <v>32.51620858601062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2036359</v>
      </c>
      <c r="M34" s="38">
        <f t="shared" si="32"/>
        <v>0</v>
      </c>
      <c r="N34" s="38">
        <f t="shared" ca="1" si="32"/>
        <v>662146.74000000011</v>
      </c>
      <c r="O34" s="38">
        <f t="shared" ca="1" si="29"/>
        <v>32.51620858601062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3967395</v>
      </c>
      <c r="M37" s="54">
        <f t="shared" ca="1" si="33"/>
        <v>3290215</v>
      </c>
      <c r="N37" s="54">
        <f t="shared" ca="1" si="33"/>
        <v>2828224.72</v>
      </c>
      <c r="O37" s="55">
        <f t="shared" ca="1" si="29"/>
        <v>71.286693661710018</v>
      </c>
      <c r="P37" s="55">
        <f t="shared" ca="1" si="25"/>
        <v>85.958659844417468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1431100</v>
      </c>
      <c r="M41" s="78">
        <f t="shared" ca="1" si="34"/>
        <v>1278400</v>
      </c>
      <c r="N41" s="78">
        <f t="shared" ca="1" si="34"/>
        <v>1238594.3</v>
      </c>
      <c r="O41" s="77">
        <f t="shared" ref="O41:O43" ca="1" si="35">IF(L41&gt;0,N41*100/L41,0)</f>
        <v>86.548410313744668</v>
      </c>
      <c r="P41" s="77">
        <f t="shared" ref="P41:P43" ca="1" si="36">IF(M41&gt;0,N41*100/M41,0)</f>
        <v>96.886287546933673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1431100</v>
      </c>
      <c r="M43" s="78">
        <f t="shared" ca="1" si="38"/>
        <v>1278400</v>
      </c>
      <c r="N43" s="78">
        <f t="shared" ca="1" si="38"/>
        <v>1238594.3</v>
      </c>
      <c r="O43" s="77">
        <f t="shared" ca="1" si="35"/>
        <v>86.548410313744668</v>
      </c>
      <c r="P43" s="77">
        <f t="shared" ca="1" si="36"/>
        <v>96.886287546933673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IFERROR(__xludf.DUMMYFUNCTION("IMPORTRANGE(""https://docs.google.com/spreadsheets/d/1Yj_ptqi66GCucihVvJfMjLAmec39IyEx_6qawtMGysU/edit?usp=sharing"",""สบก!Q41"")"),478400)</f>
        <v>478400</v>
      </c>
      <c r="N45" s="49">
        <f ca="1">IFERROR(__xludf.DUMMYFUNCTION("IMPORTRANGE(""https://docs.google.com/spreadsheets/d/1Yj_ptqi66GCucihVvJfMjLAmec39IyEx_6qawtMGysU/edit?usp=sharing"",""สบก!R41"")"),438594.3)</f>
        <v>438594.3</v>
      </c>
      <c r="O45" s="38">
        <f ca="1">IF(L45&gt;0,N45*100/L45,0)</f>
        <v>69.496799239423225</v>
      </c>
      <c r="P45" s="38">
        <f ca="1">IF(M45&gt;0,N45*100/M45,0)</f>
        <v>91.679410535117057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IFERROR(__xludf.DUMMYFUNCTION("IMPORTRANGE(""https://docs.google.com/spreadsheets/d/1Yj_ptqi66GCucihVvJfMjLAmec39IyEx_6qawtMGysU/edit?usp=sharing"",""สบก!O41"")"),800000)</f>
        <v>800000</v>
      </c>
      <c r="M49" s="49">
        <f ca="1">L49</f>
        <v>800000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324040</v>
      </c>
      <c r="N53" s="121">
        <f t="shared" ca="1" si="39"/>
        <v>318338</v>
      </c>
      <c r="O53" s="120">
        <f t="shared" ref="O53:O55" ca="1" si="40">IF(L53&gt;0,N53*100/L53,0)</f>
        <v>77.116763565891475</v>
      </c>
      <c r="P53" s="120">
        <f t="shared" ref="P53:P55" ca="1" si="41">IF(M53&gt;0,N53*100/M53,0)</f>
        <v>98.240340698679177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324040</v>
      </c>
      <c r="N55" s="121">
        <f t="shared" ca="1" si="43"/>
        <v>318338</v>
      </c>
      <c r="O55" s="120">
        <f t="shared" ca="1" si="40"/>
        <v>77.116763565891475</v>
      </c>
      <c r="P55" s="120">
        <f t="shared" ca="1" si="41"/>
        <v>98.240340698679177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IFERROR(__xludf.DUMMYFUNCTION("IMPORTRANGE(""https://docs.google.com/spreadsheets/d/1Yj_ptqi66GCucihVvJfMjLAmec39IyEx_6qawtMGysU/edit?usp=sharing"",""สบก!Z41"")"),324040)</f>
        <v>324040</v>
      </c>
      <c r="N57" s="49">
        <f ca="1">IFERROR(__xludf.DUMMYFUNCTION("IMPORTRANGE(""https://docs.google.com/spreadsheets/d/1Yj_ptqi66GCucihVvJfMjLAmec39IyEx_6qawtMGysU/edit?usp=sharing"",""สบก!AA41"")"),318338)</f>
        <v>318338</v>
      </c>
      <c r="O57" s="38">
        <f ca="1">IF(L57&gt;0,N57*100/L57,0)</f>
        <v>77.116763565891475</v>
      </c>
      <c r="P57" s="38">
        <f ca="1">IF(M57&gt;0,N57*100/M57,0)</f>
        <v>98.240340698679177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554720</v>
      </c>
      <c r="N66" s="152">
        <f t="shared" ca="1" si="45"/>
        <v>380881.11</v>
      </c>
      <c r="O66" s="151">
        <f t="shared" ref="O66:O68" ca="1" si="46">IF(L66&gt;0,N66*100/L66,0)</f>
        <v>56.493786710175023</v>
      </c>
      <c r="P66" s="151">
        <f t="shared" ref="P66:P68" ca="1" si="47">IF(M66&gt;0,N66*100/M66,0)</f>
        <v>68.661867248341508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554720</v>
      </c>
      <c r="N68" s="157">
        <f t="shared" ca="1" si="49"/>
        <v>380881.11</v>
      </c>
      <c r="O68" s="156">
        <f t="shared" ca="1" si="46"/>
        <v>56.493786710175023</v>
      </c>
      <c r="P68" s="156">
        <f t="shared" ca="1" si="47"/>
        <v>68.661867248341508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674200</v>
      </c>
      <c r="M70" s="168">
        <f ca="1">IFERROR(__xludf.DUMMYFUNCTION("IMPORTRANGE(""https://docs.google.com/spreadsheets/d/1Yj_ptqi66GCucihVvJfMjLAmec39IyEx_6qawtMGysU/edit?usp=sharing"",""สบก!AI41"")"),554720)</f>
        <v>554720</v>
      </c>
      <c r="N70" s="169">
        <f ca="1">IFERROR(__xludf.DUMMYFUNCTION("IMPORTRANGE(""https://docs.google.com/spreadsheets/d/1Yj_ptqi66GCucihVvJfMjLAmec39IyEx_6qawtMGysU/edit?usp=sharing"",""สบก!AJ41"")"),380881.11)</f>
        <v>380881.11</v>
      </c>
      <c r="O70" s="169">
        <f ca="1">IF(L70&gt;0,N70*100/L70,0)</f>
        <v>56.493786710175023</v>
      </c>
      <c r="P70" s="169">
        <f ca="1">IF(M70&gt;0,N70*100/M70,0)</f>
        <v>68.661867248341508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IFERROR(__xludf.DUMMYFUNCTION("IMPORTRANGE(""https://docs.google.com/spreadsheets/d/1Yj_ptqi66GCucihVvJfMjLAmec39IyEx_6qawtMGysU/edit?usp=sharing"",""สบก!AF41"")"),486000)</f>
        <v>486000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194055</v>
      </c>
      <c r="N94" s="152">
        <f t="shared" ca="1" si="52"/>
        <v>112908.55</v>
      </c>
      <c r="O94" s="151">
        <f t="shared" ref="O94:O96" ca="1" si="53">IF(L94&gt;0,N94*100/L94,0)</f>
        <v>52.736361513311536</v>
      </c>
      <c r="P94" s="151">
        <f t="shared" ref="P94:P96" ca="1" si="54">IF(M94&gt;0,N94*100/M94,0)</f>
        <v>58.183788101311485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194055</v>
      </c>
      <c r="N96" s="157">
        <f t="shared" ca="1" si="56"/>
        <v>112908.55</v>
      </c>
      <c r="O96" s="156">
        <f t="shared" ca="1" si="53"/>
        <v>52.736361513311536</v>
      </c>
      <c r="P96" s="156">
        <f t="shared" ca="1" si="54"/>
        <v>58.183788101311485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IFERROR(__xludf.DUMMYFUNCTION("IMPORTRANGE(""https://docs.google.com/spreadsheets/d/1Yj_ptqi66GCucihVvJfMjLAmec39IyEx_6qawtMGysU/edit?usp=sharing"",""สบก!AR41"")"),102055)</f>
        <v>102055</v>
      </c>
      <c r="N98" s="169">
        <f ca="1">IFERROR(__xludf.DUMMYFUNCTION("IMPORTRANGE(""https://docs.google.com/spreadsheets/d/1Yj_ptqi66GCucihVvJfMjLAmec39IyEx_6qawtMGysU/edit?usp=sharing"",""สบก!AS41"")"),20908.55)</f>
        <v>20908.55</v>
      </c>
      <c r="O98" s="169">
        <f ca="1">IF(L98&gt;0,N98*100/L98,0)</f>
        <v>17.124119574119575</v>
      </c>
      <c r="P98" s="169">
        <f ca="1">IF(M98&gt;0,N98*100/M98,0)</f>
        <v>20.487531233158592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IFERROR(__xludf.DUMMYFUNCTION("IMPORTRANGE(""https://docs.google.com/spreadsheets/d/1Yj_ptqi66GCucihVvJfMjLAmec39IyEx_6qawtMGysU/edit?usp=sharing"",""สบก!BA41"")"),0)</f>
        <v>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72000</v>
      </c>
      <c r="M140" s="152">
        <f t="shared" ca="1" si="64"/>
        <v>70625</v>
      </c>
      <c r="N140" s="152">
        <f t="shared" ca="1" si="64"/>
        <v>53329.8</v>
      </c>
      <c r="O140" s="151">
        <f t="shared" ref="O140:O142" ca="1" si="65">IF(L140&gt;0,N140*100/L140,0)</f>
        <v>74.069166666666661</v>
      </c>
      <c r="P140" s="151">
        <f t="shared" ref="P140:P142" ca="1" si="66">IF(M140&gt;0,N140*100/M140,0)</f>
        <v>75.511221238938049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72000</v>
      </c>
      <c r="M142" s="157">
        <f t="shared" ca="1" si="68"/>
        <v>70625</v>
      </c>
      <c r="N142" s="157">
        <f t="shared" ca="1" si="68"/>
        <v>53329.8</v>
      </c>
      <c r="O142" s="156">
        <f t="shared" ca="1" si="65"/>
        <v>74.069166666666661</v>
      </c>
      <c r="P142" s="156">
        <f t="shared" ca="1" si="66"/>
        <v>75.511221238938049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72000</v>
      </c>
      <c r="M144" s="168">
        <f ca="1">IFERROR(__xludf.DUMMYFUNCTION("IMPORTRANGE(""https://docs.google.com/spreadsheets/d/1Yj_ptqi66GCucihVvJfMjLAmec39IyEx_6qawtMGysU/edit?usp=sharing"",""สบก!BJ41"")"),70625)</f>
        <v>70625</v>
      </c>
      <c r="N144" s="169">
        <f ca="1">IFERROR(__xludf.DUMMYFUNCTION("IMPORTRANGE(""https://docs.google.com/spreadsheets/d/1Yj_ptqi66GCucihVvJfMjLAmec39IyEx_6qawtMGysU/edit?usp=sharing"",""สบก!BK41"")"),53329.8)</f>
        <v>53329.8</v>
      </c>
      <c r="O144" s="169">
        <f ca="1">IF(L144&gt;0,N144*100/L144,0)</f>
        <v>74.069166666666661</v>
      </c>
      <c r="P144" s="169">
        <f ca="1">IF(M144&gt;0,N144*100/M144,0)</f>
        <v>75.511221238938049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IFERROR(__xludf.DUMMYFUNCTION("IMPORTRANGE(""https://docs.google.com/spreadsheets/d/1Yj_ptqi66GCucihVvJfMjLAmec39IyEx_6qawtMGysU/edit?usp=sharing"",""สบก!BG41"")"),72000)</f>
        <v>72000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146500</v>
      </c>
      <c r="N250" s="152">
        <f t="shared" ca="1" si="77"/>
        <v>107035</v>
      </c>
      <c r="O250" s="151">
        <f t="shared" ref="O250:O252" ca="1" si="78">IF(L250&gt;0,N250*100/L250,0)</f>
        <v>48.432126696832576</v>
      </c>
      <c r="P250" s="151">
        <f t="shared" ref="P250:P252" ca="1" si="79">IF(M250&gt;0,N250*100/M250,0)</f>
        <v>73.061433447098977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146500</v>
      </c>
      <c r="N252" s="157">
        <f t="shared" ca="1" si="81"/>
        <v>107035</v>
      </c>
      <c r="O252" s="156">
        <f t="shared" ca="1" si="78"/>
        <v>48.432126696832576</v>
      </c>
      <c r="P252" s="156">
        <f t="shared" ca="1" si="79"/>
        <v>73.061433447098977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IFERROR(__xludf.DUMMYFUNCTION("IMPORTRANGE(""https://docs.google.com/spreadsheets/d/1Yj_ptqi66GCucihVvJfMjLAmec39IyEx_6qawtMGysU/edit?usp=sharing"",""สบก!CB41"")"),146500)</f>
        <v>146500</v>
      </c>
      <c r="N254" s="169">
        <f ca="1">IFERROR(__xludf.DUMMYFUNCTION("IMPORTRANGE(""https://docs.google.com/spreadsheets/d/1Yj_ptqi66GCucihVvJfMjLAmec39IyEx_6qawtMGysU/edit?usp=sharing"",""สบก!CC41"")"),107035)</f>
        <v>107035</v>
      </c>
      <c r="O254" s="169">
        <f ca="1">IF(L254&gt;0,N254*100/L254,0)</f>
        <v>48.432126696832576</v>
      </c>
      <c r="P254" s="169">
        <f ca="1">IF(M254&gt;0,N254*100/M254,0)</f>
        <v>73.061433447098977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IFERROR(__xludf.DUMMYFUNCTION("IMPORTRANGE(""https://docs.google.com/spreadsheets/d/1XL5vhW3sbDhbH9Cz0tuDiY8C3ctxq1tqvaCgkFb8cCA/edit?usp=sharing"",""นครพนม!J228"")"),108)</f>
        <v>108</v>
      </c>
      <c r="K328" s="318">
        <f ca="1">IF(I328&gt;0,J328*100/I328,0)</f>
        <v>22.040816326530614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700750</v>
      </c>
      <c r="N329" s="152">
        <f t="shared" ca="1" si="98"/>
        <v>596012.96</v>
      </c>
      <c r="O329" s="151">
        <f t="shared" ref="O329:O331" ca="1" si="99">IF(L329&gt;0,N329*100/L329,0)</f>
        <v>64.708758291986499</v>
      </c>
      <c r="P329" s="151">
        <f t="shared" ref="P329:P331" ca="1" si="100">IF(M329&gt;0,N329*100/M329,0)</f>
        <v>85.053579735997147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700750</v>
      </c>
      <c r="N331" s="157">
        <f t="shared" ca="1" si="102"/>
        <v>596012.96</v>
      </c>
      <c r="O331" s="156">
        <f t="shared" ca="1" si="99"/>
        <v>64.708758291986499</v>
      </c>
      <c r="P331" s="156">
        <f t="shared" ca="1" si="100"/>
        <v>85.053579735997147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IFERROR(__xludf.DUMMYFUNCTION("IMPORTRANGE(""https://docs.google.com/spreadsheets/d/1Yj_ptqi66GCucihVvJfMjLAmec39IyEx_6qawtMGysU/edit?usp=sharing"",""สบก!DL41"")"),601450)</f>
        <v>601450</v>
      </c>
      <c r="N333" s="169">
        <f ca="1">IFERROR(__xludf.DUMMYFUNCTION("IMPORTRANGE(""https://docs.google.com/spreadsheets/d/1Yj_ptqi66GCucihVvJfMjLAmec39IyEx_6qawtMGysU/edit?usp=sharing"",""สบก!DM41"")"),496712.96)</f>
        <v>496712.96000000002</v>
      </c>
      <c r="O333" s="169">
        <f ca="1">IF(L333&gt;0,N333*100/L333,0)</f>
        <v>60.44428002969201</v>
      </c>
      <c r="P333" s="169">
        <f ca="1">IF(M333&gt;0,N333*100/M333,0)</f>
        <v>82.585910715770225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IFERROR(__xludf.DUMMYFUNCTION("IMPORTRANGE(""https://docs.google.com/spreadsheets/d/1XL5vhW3sbDhbH9Cz0tuDiY8C3ctxq1tqvaCgkFb8cCA/edit?usp=sharing"",""นครพนม!J234"")"),153)</f>
        <v>153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IFERROR(__xludf.DUMMYFUNCTION("IMPORTRANGE(""https://docs.google.com/spreadsheets/d/1XL5vhW3sbDhbH9Cz0tuDiY8C3ctxq1tqvaCgkFb8cCA/edit?usp=sharing"",""นครพนม!J235"")"),1606.8)</f>
        <v>1606.8</v>
      </c>
      <c r="K340" s="343">
        <f t="shared" ca="1" si="103"/>
        <v>68.666666666666671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IFERROR(__xludf.DUMMYFUNCTION("IMPORTRANGE(""https://docs.google.com/spreadsheets/d/1XL5vhW3sbDhbH9Cz0tuDiY8C3ctxq1tqvaCgkFb8cCA/edit?usp=sharing"",""นครพนม!J236"")"),219)</f>
        <v>219</v>
      </c>
      <c r="K341" s="343">
        <f t="shared" ca="1" si="103"/>
        <v>44.693877551020407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IFERROR(__xludf.DUMMYFUNCTION("IMPORTRANGE(""https://docs.google.com/spreadsheets/d/1XL5vhW3sbDhbH9Cz0tuDiY8C3ctxq1tqvaCgkFb8cCA/edit?usp=sharing"",""นครพนม!J237"")"),2199.39)</f>
        <v>2199.39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IFERROR(__xludf.DUMMYFUNCTION("IMPORTRANGE(""https://docs.google.com/spreadsheets/d/1XL5vhW3sbDhbH9Cz0tuDiY8C3ctxq1tqvaCgkFb8cCA/edit?usp=sharing"",""นครพนม!J240"")"),108)</f>
        <v>108</v>
      </c>
      <c r="K345" s="343">
        <f t="shared" ca="1" si="103"/>
        <v>22.040816326530614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IFERROR(__xludf.DUMMYFUNCTION("IMPORTRANGE(""https://docs.google.com/spreadsheets/d/1XL5vhW3sbDhbH9Cz0tuDiY8C3ctxq1tqvaCgkFb8cCA/edit?usp=sharing"",""นครพนม!J241"")"),1169.73)</f>
        <v>1169.73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IFERROR(__xludf.DUMMYFUNCTION("IMPORTRANGE(""https://docs.google.com/spreadsheets/d/1XL5vhW3sbDhbH9Cz0tuDiY8C3ctxq1tqvaCgkFb8cCA/edit?usp=sharing"",""นครพนม!L242"")"),2036359)</f>
        <v>2036359</v>
      </c>
      <c r="M347" s="358"/>
      <c r="N347" s="358">
        <f ca="1">IFERROR(__xludf.DUMMYFUNCTION("IMPORTRANGE(""https://docs.google.com/spreadsheets/d/1XL5vhW3sbDhbH9Cz0tuDiY8C3ctxq1tqvaCgkFb8cCA/edit?usp=sharing"",""นครพนม!M242"")"),662146.74)</f>
        <v>662146.74</v>
      </c>
      <c r="O347" s="358">
        <f ca="1">+IF(L347&gt;0,N347*100/L347,0)</f>
        <v>32.51620858601062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IFERROR(__xludf.DUMMYFUNCTION("IMPORTRANGE(""https://docs.google.com/spreadsheets/d/1XL5vhW3sbDhbH9Cz0tuDiY8C3ctxq1tqvaCgkFb8cCA/edit?usp=sharing"",""นครพนม!M244"")"),179443)</f>
        <v>179443</v>
      </c>
      <c r="O349" s="373">
        <f ca="1">+IF(L349&gt;0,N349*100/L349,0)</f>
        <v>59.782449360341154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IFERROR(__xludf.DUMMYFUNCTION("IMPORTRANGE(""https://docs.google.com/spreadsheets/d/1XL5vhW3sbDhbH9Cz0tuDiY8C3ctxq1tqvaCgkFb8cCA/edit?usp=sharing"",""นครพนม!M247"")"),179443)</f>
        <v>179443</v>
      </c>
      <c r="O352" s="165">
        <f t="shared" ca="1" si="105"/>
        <v>59.782449360341154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IFERROR(__xludf.DUMMYFUNCTION("IMPORTRANGE(""https://docs.google.com/spreadsheets/d/1XL5vhW3sbDhbH9Cz0tuDiY8C3ctxq1tqvaCgkFb8cCA/edit?usp=sharing"",""นครพนม!M249"")"),179443)</f>
        <v>179443</v>
      </c>
      <c r="O354" s="169">
        <f t="shared" ca="1" si="105"/>
        <v>59.782449360341154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IFERROR(__xludf.DUMMYFUNCTION("IMPORTRANGE(""https://docs.google.com/spreadsheets/d/1XL5vhW3sbDhbH9Cz0tuDiY8C3ctxq1tqvaCgkFb8cCA/edit?usp=sharing"",""นครพนม!M250"")"),19170)</f>
        <v>19170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IFERROR(__xludf.DUMMYFUNCTION("IMPORTRANGE(""https://docs.google.com/spreadsheets/d/1XL5vhW3sbDhbH9Cz0tuDiY8C3ctxq1tqvaCgkFb8cCA/edit?usp=sharing"",""นครพนม!M251"")"),67400)</f>
        <v>67400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IFERROR(__xludf.DUMMYFUNCTION("IMPORTRANGE(""https://docs.google.com/spreadsheets/d/1XL5vhW3sbDhbH9Cz0tuDiY8C3ctxq1tqvaCgkFb8cCA/edit?usp=sharing"",""นครพนม!M252"")"),85871)</f>
        <v>85871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IFERROR(__xludf.DUMMYFUNCTION("IMPORTRANGE(""https://docs.google.com/spreadsheets/d/1XL5vhW3sbDhbH9Cz0tuDiY8C3ctxq1tqvaCgkFb8cCA/edit?usp=sharing"",""นครพนม!M275"")"),179124.13)</f>
        <v>179124.13</v>
      </c>
      <c r="O380" s="373">
        <f ca="1">+IF(L380&gt;0,N380*100/L380,0)</f>
        <v>17.415716758060125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IFERROR(__xludf.DUMMYFUNCTION("IMPORTRANGE(""https://docs.google.com/spreadsheets/d/1XL5vhW3sbDhbH9Cz0tuDiY8C3ctxq1tqvaCgkFb8cCA/edit?usp=sharing"",""นครพนม!M278"")"),179124.13)</f>
        <v>179124.13</v>
      </c>
      <c r="O383" s="165">
        <f t="shared" ca="1" si="109"/>
        <v>17.415716758060125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IFERROR(__xludf.DUMMYFUNCTION("IMPORTRANGE(""https://docs.google.com/spreadsheets/d/1XL5vhW3sbDhbH9Cz0tuDiY8C3ctxq1tqvaCgkFb8cCA/edit?usp=sharing"",""นครพนม!M280"")"),179124.13)</f>
        <v>179124.13</v>
      </c>
      <c r="O385" s="169">
        <f t="shared" ca="1" si="109"/>
        <v>17.415716758060125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IFERROR(__xludf.DUMMYFUNCTION("IMPORTRANGE(""https://docs.google.com/spreadsheets/d/1XL5vhW3sbDhbH9Cz0tuDiY8C3ctxq1tqvaCgkFb8cCA/edit?usp=sharing"",""นครพนม!M281"")"),100822.13)</f>
        <v>100822.13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IFERROR(__xludf.DUMMYFUNCTION("IMPORTRANGE(""https://docs.google.com/spreadsheets/d/1XL5vhW3sbDhbH9Cz0tuDiY8C3ctxq1tqvaCgkFb8cCA/edit?usp=sharing"",""นครพนม!M283"")"),72742)</f>
        <v>72742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IFERROR(__xludf.DUMMYFUNCTION("IMPORTRANGE(""https://docs.google.com/spreadsheets/d/1XL5vhW3sbDhbH9Cz0tuDiY8C3ctxq1tqvaCgkFb8cCA/edit?usp=sharing"",""นครพนม!M296"")"),92815.8)</f>
        <v>92815.8</v>
      </c>
      <c r="O401" s="373">
        <f ca="1">+IF(L401&gt;0,N401*100/L401,0)</f>
        <v>64.205727725511892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IFERROR(__xludf.DUMMYFUNCTION("IMPORTRANGE(""https://docs.google.com/spreadsheets/d/1XL5vhW3sbDhbH9Cz0tuDiY8C3ctxq1tqvaCgkFb8cCA/edit?usp=sharing"",""นครพนม!M299"")"),92815.8)</f>
        <v>92815.8</v>
      </c>
      <c r="O404" s="169">
        <f t="shared" ca="1" si="112"/>
        <v>64.205727725511892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IFERROR(__xludf.DUMMYFUNCTION("IMPORTRANGE(""https://docs.google.com/spreadsheets/d/1XL5vhW3sbDhbH9Cz0tuDiY8C3ctxq1tqvaCgkFb8cCA/edit?usp=sharing"",""นครพนม!M301"")"),92815.8)</f>
        <v>92815.8</v>
      </c>
      <c r="O406" s="169">
        <f t="shared" ca="1" si="112"/>
        <v>64.205727725511892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IFERROR(__xludf.DUMMYFUNCTION("IMPORTRANGE(""https://docs.google.com/spreadsheets/d/1XL5vhW3sbDhbH9Cz0tuDiY8C3ctxq1tqvaCgkFb8cCA/edit?usp=sharing"",""นครพนม!M302"")"),59015.8)</f>
        <v>59015.8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IFERROR(__xludf.DUMMYFUNCTION("IMPORTRANGE(""https://docs.google.com/spreadsheets/d/1XL5vhW3sbDhbH9Cz0tuDiY8C3ctxq1tqvaCgkFb8cCA/edit?usp=sharing"",""นครพนม!M330"")"),37667.65)</f>
        <v>37667.65</v>
      </c>
      <c r="O435" s="412">
        <f t="shared" ref="O435:O439" ca="1" si="114">+IF(L435&gt;0,N435*100/L435,0)</f>
        <v>34.088371040723985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IFERROR(__xludf.DUMMYFUNCTION("IMPORTRANGE(""https://docs.google.com/spreadsheets/d/1XL5vhW3sbDhbH9Cz0tuDiY8C3ctxq1tqvaCgkFb8cCA/edit?usp=sharing"",""นครพนม!M332"")"),37667.65)</f>
        <v>37667.65</v>
      </c>
      <c r="O437" s="169">
        <f t="shared" ca="1" si="114"/>
        <v>34.088371040723985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IFERROR(__xludf.DUMMYFUNCTION("IMPORTRANGE(""https://docs.google.com/spreadsheets/d/1XL5vhW3sbDhbH9Cz0tuDiY8C3ctxq1tqvaCgkFb8cCA/edit?usp=sharing"",""นครพนม!M334"")"),37667.65)</f>
        <v>37667.65</v>
      </c>
      <c r="O439" s="169">
        <f t="shared" ca="1" si="114"/>
        <v>34.088371040723985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IFERROR(__xludf.DUMMYFUNCTION("IMPORTRANGE(""https://docs.google.com/spreadsheets/d/1XL5vhW3sbDhbH9Cz0tuDiY8C3ctxq1tqvaCgkFb8cCA/edit?usp=sharing"",""นครพนม!M335"")"),37667.65)</f>
        <v>37667.65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IFERROR(__xludf.DUMMYFUNCTION("IMPORTRANGE(""https://docs.google.com/spreadsheets/d/1XL5vhW3sbDhbH9Cz0tuDiY8C3ctxq1tqvaCgkFb8cCA/edit?usp=sharing"",""นครพนม!J350"")"),24858)</f>
        <v>24858</v>
      </c>
      <c r="K455" s="372">
        <f ca="1">IF(I455&gt;0,J455*100/I455,0)</f>
        <v>83.573157611619152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IFERROR(__xludf.DUMMYFUNCTION("IMPORTRANGE(""https://docs.google.com/spreadsheets/d/1XL5vhW3sbDhbH9Cz0tuDiY8C3ctxq1tqvaCgkFb8cCA/edit?usp=sharing"",""นครพนม!M350"")"),72990)</f>
        <v>72990</v>
      </c>
      <c r="O455" s="373">
        <f t="shared" ref="O455:O459" ca="1" si="116">+IF(L455&gt;0,N455*100/L455,0)</f>
        <v>26.66798198020453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IFERROR(__xludf.DUMMYFUNCTION("IMPORTRANGE(""https://docs.google.com/spreadsheets/d/1XL5vhW3sbDhbH9Cz0tuDiY8C3ctxq1tqvaCgkFb8cCA/edit?usp=sharing"",""นครพนม!M352"")"),72990)</f>
        <v>72990</v>
      </c>
      <c r="O457" s="169">
        <f t="shared" ca="1" si="116"/>
        <v>26.66798198020453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IFERROR(__xludf.DUMMYFUNCTION("IMPORTRANGE(""https://docs.google.com/spreadsheets/d/1XL5vhW3sbDhbH9Cz0tuDiY8C3ctxq1tqvaCgkFb8cCA/edit?usp=sharing"",""นครพนม!M354"")"),72990)</f>
        <v>72990</v>
      </c>
      <c r="O459" s="169">
        <f t="shared" ca="1" si="116"/>
        <v>26.66798198020453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IFERROR(__xludf.DUMMYFUNCTION("IMPORTRANGE(""https://docs.google.com/spreadsheets/d/1XL5vhW3sbDhbH9Cz0tuDiY8C3ctxq1tqvaCgkFb8cCA/edit?usp=sharing"",""นครพนม!M358"")"),72990)</f>
        <v>72990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IFERROR(__xludf.DUMMYFUNCTION("IMPORTRANGE(""https://docs.google.com/spreadsheets/d/1XL5vhW3sbDhbH9Cz0tuDiY8C3ctxq1tqvaCgkFb8cCA/edit?usp=sharing"",""นครพนม!J359"")"),24858)</f>
        <v>24858</v>
      </c>
      <c r="K464" s="269">
        <f t="shared" ref="K464:K515" ca="1" si="117">IF(I464&gt;0,J464*100/I464,0)</f>
        <v>83.573157611619152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IFERROR(__xludf.DUMMYFUNCTION("IMPORTRANGE(""https://docs.google.com/spreadsheets/d/1XL5vhW3sbDhbH9Cz0tuDiY8C3ctxq1tqvaCgkFb8cCA/edit?usp=sharing"",""นครพนม!J376"")"),24858)</f>
        <v>24858</v>
      </c>
      <c r="K481" s="202">
        <f t="shared" ca="1" si="117"/>
        <v>83.573157611619152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IFERROR(__xludf.DUMMYFUNCTION("IMPORTRANGE(""https://docs.google.com/spreadsheets/d/1XL5vhW3sbDhbH9Cz0tuDiY8C3ctxq1tqvaCgkFb8cCA/edit?usp=sharing"",""นครพนม!J377"")"),2246)</f>
        <v>2246</v>
      </c>
      <c r="K482" s="202">
        <f t="shared" ca="1" si="117"/>
        <v>85.399239543726239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IFERROR(__xludf.DUMMYFUNCTION("IMPORTRANGE(""https://docs.google.com/spreadsheets/d/1XL5vhW3sbDhbH9Cz0tuDiY8C3ctxq1tqvaCgkFb8cCA/edit?usp=sharing"",""นครพนม!J378"")"),24858)</f>
        <v>24858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IFERROR(__xludf.DUMMYFUNCTION("IMPORTRANGE(""https://docs.google.com/spreadsheets/d/1XL5vhW3sbDhbH9Cz0tuDiY8C3ctxq1tqvaCgkFb8cCA/edit?usp=sharing"",""นครพนม!J379"")"),2246)</f>
        <v>2246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IFERROR(__xludf.DUMMYFUNCTION("IMPORTRANGE(""https://docs.google.com/spreadsheets/d/1XL5vhW3sbDhbH9Cz0tuDiY8C3ctxq1tqvaCgkFb8cCA/edit?usp=sharing"",""นครพนม!J392"")"),662)</f>
        <v>662</v>
      </c>
      <c r="K497" s="444">
        <f t="shared" ca="1" si="117"/>
        <v>31.857555341674686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IFERROR(__xludf.DUMMYFUNCTION("IMPORTRANGE(""https://docs.google.com/spreadsheets/d/1XL5vhW3sbDhbH9Cz0tuDiY8C3ctxq1tqvaCgkFb8cCA/edit?usp=sharing"",""นครพนม!J393"")"),662)</f>
        <v>662</v>
      </c>
      <c r="K498" s="202">
        <f t="shared" ca="1" si="117"/>
        <v>31.857555341674686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IFERROR(__xludf.DUMMYFUNCTION("IMPORTRANGE(""https://docs.google.com/spreadsheets/d/1XL5vhW3sbDhbH9Cz0tuDiY8C3ctxq1tqvaCgkFb8cCA/edit?usp=sharing"",""นครพนม!J394"")"),107)</f>
        <v>107</v>
      </c>
      <c r="K499" s="202">
        <f t="shared" ca="1" si="117"/>
        <v>39.92537313432836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IFERROR(__xludf.DUMMYFUNCTION("IMPORTRANGE(""https://docs.google.com/spreadsheets/d/1XL5vhW3sbDhbH9Cz0tuDiY8C3ctxq1tqvaCgkFb8cCA/edit?usp=sharing"",""นครพนม!J395"")"),662)</f>
        <v>662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IFERROR(__xludf.DUMMYFUNCTION("IMPORTRANGE(""https://docs.google.com/spreadsheets/d/1XL5vhW3sbDhbH9Cz0tuDiY8C3ctxq1tqvaCgkFb8cCA/edit?usp=sharing"",""นครพนม!J396"")"),107)</f>
        <v>107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IFERROR(__xludf.DUMMYFUNCTION("IMPORTRANGE(""https://docs.google.com/spreadsheets/d/1XL5vhW3sbDhbH9Cz0tuDiY8C3ctxq1tqvaCgkFb8cCA/edit?usp=sharing"",""นครพนม!J397"")"),641)</f>
        <v>641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IFERROR(__xludf.DUMMYFUNCTION("IMPORTRANGE(""https://docs.google.com/spreadsheets/d/1XL5vhW3sbDhbH9Cz0tuDiY8C3ctxq1tqvaCgkFb8cCA/edit?usp=sharing"",""นครพนม!J398"")"),103)</f>
        <v>103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IFERROR(__xludf.DUMMYFUNCTION("IMPORTRANGE(""https://docs.google.com/spreadsheets/d/1XL5vhW3sbDhbH9Cz0tuDiY8C3ctxq1tqvaCgkFb8cCA/edit?usp=sharing"",""นครพนม!J399"")"),21)</f>
        <v>21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IFERROR(__xludf.DUMMYFUNCTION("IMPORTRANGE(""https://docs.google.com/spreadsheets/d/1XL5vhW3sbDhbH9Cz0tuDiY8C3ctxq1tqvaCgkFb8cCA/edit?usp=sharing"",""นครพนม!J400"")"),4)</f>
        <v>4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IFERROR(__xludf.DUMMYFUNCTION("IMPORTRANGE(""https://docs.google.com/spreadsheets/d/1XL5vhW3sbDhbH9Cz0tuDiY8C3ctxq1tqvaCgkFb8cCA/edit?usp=sharing"",""นครพนม!J459"")"),2047)</f>
        <v>2047</v>
      </c>
      <c r="K564" s="372">
        <f ca="1">IF(I564&gt;0,J564*100/I564,0)</f>
        <v>170.58333333333334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IFERROR(__xludf.DUMMYFUNCTION("IMPORTRANGE(""https://docs.google.com/spreadsheets/d/1XL5vhW3sbDhbH9Cz0tuDiY8C3ctxq1tqvaCgkFb8cCA/edit?usp=sharing"",""นครพนม!M459"")"),64416.16)</f>
        <v>64416.160000000003</v>
      </c>
      <c r="O564" s="373">
        <f t="shared" ref="O564:O568" ca="1" si="122">+IF(L564&gt;0,N564*100/L564,0)</f>
        <v>50.137110834371107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IFERROR(__xludf.DUMMYFUNCTION("IMPORTRANGE(""https://docs.google.com/spreadsheets/d/1XL5vhW3sbDhbH9Cz0tuDiY8C3ctxq1tqvaCgkFb8cCA/edit?usp=sharing"",""นครพนม!M461"")"),64416.16)</f>
        <v>64416.160000000003</v>
      </c>
      <c r="O566" s="169">
        <f t="shared" ca="1" si="122"/>
        <v>50.137110834371107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IFERROR(__xludf.DUMMYFUNCTION("IMPORTRANGE(""https://docs.google.com/spreadsheets/d/1XL5vhW3sbDhbH9Cz0tuDiY8C3ctxq1tqvaCgkFb8cCA/edit?usp=sharing"",""นครพนม!M463"")"),64416.16)</f>
        <v>64416.160000000003</v>
      </c>
      <c r="O568" s="169">
        <f t="shared" ca="1" si="122"/>
        <v>50.137110834371107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IFERROR(__xludf.DUMMYFUNCTION("IMPORTRANGE(""https://docs.google.com/spreadsheets/d/1XL5vhW3sbDhbH9Cz0tuDiY8C3ctxq1tqvaCgkFb8cCA/edit?usp=sharing"",""นครพนม!M466"")"),63516.16)</f>
        <v>63516.160000000003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IFERROR(__xludf.DUMMYFUNCTION("IMPORTRANGE(""https://docs.google.com/spreadsheets/d/1XL5vhW3sbDhbH9Cz0tuDiY8C3ctxq1tqvaCgkFb8cCA/edit?usp=sharing"",""นครพนม!J468"")"),2047)</f>
        <v>2047</v>
      </c>
      <c r="K573" s="202">
        <f ca="1">IF(I573&gt;0,J573*100/I573,0)</f>
        <v>170.58333333333334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IFERROR(__xludf.DUMMYFUNCTION("IMPORTRANGE(""https://docs.google.com/spreadsheets/d/1XL5vhW3sbDhbH9Cz0tuDiY8C3ctxq1tqvaCgkFb8cCA/edit?usp=sharing"",""นครพนม!J472"")"),1909)</f>
        <v>1909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0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IFERROR(__xludf.DUMMYFUNCTION("IMPORTRANGE(""https://docs.google.com/spreadsheets/d/1XL5vhW3sbDhbH9Cz0tuDiY8C3ctxq1tqvaCgkFb8cCA/edit?usp=sharing"",""นครพนม!L494"")"),16100)</f>
        <v>16100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8.3850931677018625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IFERROR(__xludf.DUMMYFUNCTION("IMPORTRANGE(""https://docs.google.com/spreadsheets/d/1XL5vhW3sbDhbH9Cz0tuDiY8C3ctxq1tqvaCgkFb8cCA/edit?usp=sharing"",""นครพนม!L496"")"),16100)</f>
        <v>16100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8.3850931677018625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IFERROR(__xludf.DUMMYFUNCTION("IMPORTRANGE(""https://docs.google.com/spreadsheets/d/1XL5vhW3sbDhbH9Cz0tuDiY8C3ctxq1tqvaCgkFb8cCA/edit?usp=sharing"",""นครพนม!J523"")"),1618081.55)</f>
        <v>1618081.55</v>
      </c>
      <c r="K628" s="343">
        <f t="shared" ref="K628:K635" ca="1" si="129">IF(I628&gt;0,J628*100/I628,0)</f>
        <v>73.721124599260676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IFERROR(__xludf.DUMMYFUNCTION("IMPORTRANGE(""https://docs.google.com/spreadsheets/d/1XL5vhW3sbDhbH9Cz0tuDiY8C3ctxq1tqvaCgkFb8cCA/edit?usp=sharing"",""นครพนม!J524"")"),158)</f>
        <v>158</v>
      </c>
      <c r="K629" s="343">
        <f t="shared" ca="1" si="129"/>
        <v>73.831775700934585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IFERROR(__xludf.DUMMYFUNCTION("IMPORTRANGE(""https://docs.google.com/spreadsheets/d/1XL5vhW3sbDhbH9Cz0tuDiY8C3ctxq1tqvaCgkFb8cCA/edit?usp=sharing"",""นครพนม!J525"")"),507124.76)</f>
        <v>507124.76</v>
      </c>
      <c r="K630" s="343">
        <f t="shared" ca="1" si="129"/>
        <v>16.194311261883048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IFERROR(__xludf.DUMMYFUNCTION("IMPORTRANGE(""https://docs.google.com/spreadsheets/d/1XL5vhW3sbDhbH9Cz0tuDiY8C3ctxq1tqvaCgkFb8cCA/edit?usp=sharing"",""นครพนม!J526"")"),80)</f>
        <v>80</v>
      </c>
      <c r="K631" s="343">
        <f t="shared" ca="1" si="129"/>
        <v>55.555555555555557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IFERROR(__xludf.DUMMYFUNCTION("IMPORTRANGE(""https://docs.google.com/spreadsheets/d/1XL5vhW3sbDhbH9Cz0tuDiY8C3ctxq1tqvaCgkFb8cCA/edit?usp=sharing"",""นครพนม!J527"")"),78260.4)</f>
        <v>78260.399999999994</v>
      </c>
      <c r="K632" s="343">
        <f t="shared" ca="1" si="129"/>
        <v>38.405595862031667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IFERROR(__xludf.DUMMYFUNCTION("IMPORTRANGE(""https://docs.google.com/spreadsheets/d/1XL5vhW3sbDhbH9Cz0tuDiY8C3ctxq1tqvaCgkFb8cCA/edit?usp=sharing"",""นครพนม!J528"")"),7)</f>
        <v>7</v>
      </c>
      <c r="K633" s="343">
        <f t="shared" ca="1" si="129"/>
        <v>43.75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IFERROR(__xludf.DUMMYFUNCTION("IMPORTRANGE(""https://docs.google.com/spreadsheets/d/1XL5vhW3sbDhbH9Cz0tuDiY8C3ctxq1tqvaCgkFb8cCA/edit?usp=sharing"",""นครพนม!J530"")"),90)</f>
        <v>90</v>
      </c>
      <c r="K635" s="486">
        <f t="shared" ca="1" si="129"/>
        <v>100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4240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4240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4240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IFERROR(__xludf.DUMMYFUNCTION("IMPORTRANGE(""https://docs.google.com/spreadsheets/d/1XL5vhW3sbDhbH9Cz0tuDiY8C3ctxq1tqvaCgkFb8cCA/edit#gid=346597447"",""นครพนม!J541"")"),0)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IFERROR(__xludf.DUMMYFUNCTION("IMPORTRANGE(""https://docs.google.com/spreadsheets/d/1XL5vhW3sbDhbH9Cz0tuDiY8C3ctxq1tqvaCgkFb8cCA/edit#gid=346597447"",""นครพนม!J542"")"),0)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IFERROR(__xludf.DUMMYFUNCTION("IMPORTRANGE(""https://docs.google.com/spreadsheets/d/1XL5vhW3sbDhbH9Cz0tuDiY8C3ctxq1tqvaCgkFb8cCA/edit#gid=346597447"",""นครพนม!I543"")"),35)</f>
        <v>35</v>
      </c>
      <c r="J648" s="585">
        <f ca="1">IFERROR(__xludf.DUMMYFUNCTION("IMPORTRANGE(""https://docs.google.com/spreadsheets/d/1XL5vhW3sbDhbH9Cz0tuDiY8C3ctxq1tqvaCgkFb8cCA/edit#gid=346597447"",""นครพนม!J543"")"),0)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IFERROR(__xludf.DUMMYFUNCTION("IMPORTRANGE(""https://docs.google.com/spreadsheets/d/1XL5vhW3sbDhbH9Cz0tuDiY8C3ctxq1tqvaCgkFb8cCA/edit#gid=346597447"",""นครพนม!L543"")"),2800)</f>
        <v>2800</v>
      </c>
      <c r="M648" s="570"/>
      <c r="N648" s="587">
        <f ca="1">IFERROR(__xludf.DUMMYFUNCTION("IMPORTRANGE(""https://docs.google.com/spreadsheets/d/1XL5vhW3sbDhbH9Cz0tuDiY8C3ctxq1tqvaCgkFb8cCA/edit#gid=346597447"",""นครพนม!M543"")"),0)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IFERROR(__xludf.DUMMYFUNCTION("IMPORTRANGE(""https://docs.google.com/spreadsheets/d/1XL5vhW3sbDhbH9Cz0tuDiY8C3ctxq1tqvaCgkFb8cCA/edit#gid=346597447"",""นครพนม!I544"")"),12)</f>
        <v>12</v>
      </c>
      <c r="J649" s="585">
        <f ca="1">IFERROR(__xludf.DUMMYFUNCTION("IMPORTRANGE(""https://docs.google.com/spreadsheets/d/1XL5vhW3sbDhbH9Cz0tuDiY8C3ctxq1tqvaCgkFb8cCA/edit#gid=346597447"",""นครพนม!J544"")"),3)</f>
        <v>3</v>
      </c>
      <c r="K649" s="586">
        <f t="shared" ca="1" si="131"/>
        <v>25</v>
      </c>
      <c r="L649" s="571">
        <f ca="1">IFERROR(__xludf.DUMMYFUNCTION("IMPORTRANGE(""https://docs.google.com/spreadsheets/d/1XL5vhW3sbDhbH9Cz0tuDiY8C3ctxq1tqvaCgkFb8cCA/edit#gid=346597447"",""นครพนม!L544"")"),1440)</f>
        <v>1440</v>
      </c>
      <c r="M649" s="570"/>
      <c r="N649" s="587">
        <f ca="1">IFERROR(__xludf.DUMMYFUNCTION("IMPORTRANGE(""https://docs.google.com/spreadsheets/d/1XL5vhW3sbDhbH9Cz0tuDiY8C3ctxq1tqvaCgkFb8cCA/edit#gid=346597447"",""นครพนม!M544"")"),0)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IFERROR(__xludf.DUMMYFUNCTION("IMPORTRANGE(""https://docs.google.com/spreadsheets/d/1XL5vhW3sbDhbH9Cz0tuDiY8C3ctxq1tqvaCgkFb8cCA/edit#gid=346597447"",""นครพนม!I545"")"),0)</f>
        <v>0</v>
      </c>
      <c r="J650" s="585">
        <f ca="1">IFERROR(__xludf.DUMMYFUNCTION("IMPORTRANGE(""https://docs.google.com/spreadsheets/d/1XL5vhW3sbDhbH9Cz0tuDiY8C3ctxq1tqvaCgkFb8cCA/edit#gid=346597447"",""นครพนม!J545"")"),0)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IFERROR(__xludf.DUMMYFUNCTION("IMPORTRANGE(""https://docs.google.com/spreadsheets/d/1XL5vhW3sbDhbH9Cz0tuDiY8C3ctxq1tqvaCgkFb8cCA/edit#gid=346597447"",""นครพนม!L545"")"),0)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IFERROR(__xludf.DUMMYFUNCTION("IMPORTRANGE(""https://docs.google.com/spreadsheets/d/1XL5vhW3sbDhbH9Cz0tuDiY8C3ctxq1tqvaCgkFb8cCA/edit#gid=346597447"",""นครพนม!M545"")"),0)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IFERROR(__xludf.DUMMYFUNCTION("IMPORTRANGE(""https://docs.google.com/spreadsheets/d/1XL5vhW3sbDhbH9Cz0tuDiY8C3ctxq1tqvaCgkFb8cCA/edit#gid=346597447"",""นครพนม!I546"")"),0)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IFERROR(__xludf.DUMMYFUNCTION("IMPORTRANGE(""https://docs.google.com/spreadsheets/d/1XL5vhW3sbDhbH9Cz0tuDiY8C3ctxq1tqvaCgkFb8cCA/edit#gid=346597447"",""นครพนม!L546"")"),0)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IFERROR(__xludf.DUMMYFUNCTION("IMPORTRANGE(""https://docs.google.com/spreadsheets/d/1XL5vhW3sbDhbH9Cz0tuDiY8C3ctxq1tqvaCgkFb8cCA/edit#gid=346597447"",""นครพนม!M546"")"),0)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IFERROR(__xludf.DUMMYFUNCTION("IMPORTRANGE(""https://docs.google.com/spreadsheets/d/1XL5vhW3sbDhbH9Cz0tuDiY8C3ctxq1tqvaCgkFb8cCA/edit#gid=346597447"",""นครพนม!J547"")"),0)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IFERROR(__xludf.DUMMYFUNCTION("IMPORTRANGE(""https://docs.google.com/spreadsheets/d/1XL5vhW3sbDhbH9Cz0tuDiY8C3ctxq1tqvaCgkFb8cCA/edit#gid=346597447"",""นครพนม!J548"")"),0)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IFERROR(__xludf.DUMMYFUNCTION("IMPORTRANGE(""https://docs.google.com/spreadsheets/d/1XL5vhW3sbDhbH9Cz0tuDiY8C3ctxq1tqvaCgkFb8cCA/edit#gid=346597447"",""นครพนม!J550"")"),0)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IFERROR(__xludf.DUMMYFUNCTION("IMPORTRANGE(""https://docs.google.com/spreadsheets/d/1XL5vhW3sbDhbH9Cz0tuDiY8C3ctxq1tqvaCgkFb8cCA/edit#gid=346597447"",""นครพนม!J551"")"),0)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IFERROR(__xludf.DUMMYFUNCTION("IMPORTRANGE(""https://docs.google.com/spreadsheets/d/1XL5vhW3sbDhbH9Cz0tuDiY8C3ctxq1tqvaCgkFb8cCA/edit#gid=346597447"",""นครพนม!J552"")"),0)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IFERROR(__xludf.DUMMYFUNCTION("IMPORTRANGE(""https://docs.google.com/spreadsheets/d/1XL5vhW3sbDhbH9Cz0tuDiY8C3ctxq1tqvaCgkFb8cCA/edit#gid=346597447"",""นครพนม!J553"")"),0)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IFERROR(__xludf.DUMMYFUNCTION("IMPORTRANGE(""https://docs.google.com/spreadsheets/d/1XL5vhW3sbDhbH9Cz0tuDiY8C3ctxq1tqvaCgkFb8cCA/edit#gid=346597447"",""นครพนม!J554"")"),0)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IFERROR(__xludf.DUMMYFUNCTION("IMPORTRANGE(""https://docs.google.com/spreadsheets/d/1XL5vhW3sbDhbH9Cz0tuDiY8C3ctxq1tqvaCgkFb8cCA/edit#gid=346597447"",""นครพนม!J555"")"),0)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IFERROR(__xludf.DUMMYFUNCTION("IMPORTRANGE(""https://docs.google.com/spreadsheets/d/1XL5vhW3sbDhbH9Cz0tuDiY8C3ctxq1tqvaCgkFb8cCA/edit#gid=346597447"",""นครพนม!J556"")"),0)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IFERROR(__xludf.DUMMYFUNCTION("IMPORTRANGE(""https://docs.google.com/spreadsheets/d/1XL5vhW3sbDhbH9Cz0tuDiY8C3ctxq1tqvaCgkFb8cCA/edit#gid=346597447"",""นครพนม!L556"")"),0)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IFERROR(__xludf.DUMMYFUNCTION("IMPORTRANGE(""https://docs.google.com/spreadsheets/d/1XL5vhW3sbDhbH9Cz0tuDiY8C3ctxq1tqvaCgkFb8cCA/edit#gid=346597447"",""นครพนม!M556"")"),0)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IFERROR(__xludf.DUMMYFUNCTION("IMPORTRANGE(""https://docs.google.com/spreadsheets/d/1XL5vhW3sbDhbH9Cz0tuDiY8C3ctxq1tqvaCgkFb8cCA/edit#gid=346597447"",""นครพนม!J557"")"),0)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IFERROR(__xludf.DUMMYFUNCTION("IMPORTRANGE(""https://docs.google.com/spreadsheets/d/1XL5vhW3sbDhbH9Cz0tuDiY8C3ctxq1tqvaCgkFb8cCA/edit#gid=346597447"",""นครพนม!I558"")"),0)</f>
        <v>0</v>
      </c>
      <c r="J663" s="585">
        <f ca="1">IFERROR(__xludf.DUMMYFUNCTION("IMPORTRANGE(""https://docs.google.com/spreadsheets/d/1XL5vhW3sbDhbH9Cz0tuDiY8C3ctxq1tqvaCgkFb8cCA/edit#gid=346597447"",""นครพนม!J558"")"),0)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IFERROR(__xludf.DUMMYFUNCTION("IMPORTRANGE(""https://docs.google.com/spreadsheets/d/1XL5vhW3sbDhbH9Cz0tuDiY8C3ctxq1tqvaCgkFb8cCA/edit#gid=346597447"",""นครพนม!I560"")"),0)</f>
        <v>0</v>
      </c>
      <c r="J665" s="585">
        <f ca="1">IFERROR(__xludf.DUMMYFUNCTION("IMPORTRANGE(""https://docs.google.com/spreadsheets/d/1XL5vhW3sbDhbH9Cz0tuDiY8C3ctxq1tqvaCgkFb8cCA/edit#gid=346597447"",""นครพนม!J560"")"),0)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IFERROR(__xludf.DUMMYFUNCTION("IMPORTRANGE(""https://docs.google.com/spreadsheets/d/1XL5vhW3sbDhbH9Cz0tuDiY8C3ctxq1tqvaCgkFb8cCA/edit#gid=346597447"",""นครพนม!L560"")"),0)</f>
        <v>0</v>
      </c>
      <c r="M665" s="570"/>
      <c r="N665" s="587">
        <f ca="1">IFERROR(__xludf.DUMMYFUNCTION("IMPORTRANGE(""https://docs.google.com/spreadsheets/d/1XL5vhW3sbDhbH9Cz0tuDiY8C3ctxq1tqvaCgkFb8cCA/edit#gid=346597447"",""นครพนม!M560"")"),0)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IFERROR(__xludf.DUMMYFUNCTION("IMPORTRANGE(""https://docs.google.com/spreadsheets/d/1XL5vhW3sbDhbH9Cz0tuDiY8C3ctxq1tqvaCgkFb8cCA/edit#gid=346597447"",""นครพนม!J561"")"),0)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IFERROR(__xludf.DUMMYFUNCTION("IMPORTRANGE(""https://docs.google.com/spreadsheets/d/1XL5vhW3sbDhbH9Cz0tuDiY8C3ctxq1tqvaCgkFb8cCA/edit#gid=346597447"",""นครพนม!J562"")"),0)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IFERROR(__xludf.DUMMYFUNCTION("IMPORTRANGE(""https://docs.google.com/spreadsheets/d/1XL5vhW3sbDhbH9Cz0tuDiY8C3ctxq1tqvaCgkFb8cCA/edit#gid=346597447"",""นครพนม!I563"")"),0)</f>
        <v>0</v>
      </c>
      <c r="J668" s="585">
        <f ca="1">IFERROR(__xludf.DUMMYFUNCTION("IMPORTRANGE(""https://docs.google.com/spreadsheets/d/1XL5vhW3sbDhbH9Cz0tuDiY8C3ctxq1tqvaCgkFb8cCA/edit#gid=346597447"",""นครพนม!J563"")"),0)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IFERROR(__xludf.DUMMYFUNCTION("IMPORTRANGE(""https://docs.google.com/spreadsheets/d/1XL5vhW3sbDhbH9Cz0tuDiY8C3ctxq1tqvaCgkFb8cCA/edit#gid=346597447"",""นครพนม!L563"")"),0)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IFERROR(__xludf.DUMMYFUNCTION("IMPORTRANGE(""https://docs.google.com/spreadsheets/d/1XL5vhW3sbDhbH9Cz0tuDiY8C3ctxq1tqvaCgkFb8cCA/edit#gid=346597447"",""นครพนม!M563"")"),0)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IFERROR(__xludf.DUMMYFUNCTION("IMPORTRANGE(""https://docs.google.com/spreadsheets/d/1XL5vhW3sbDhbH9Cz0tuDiY8C3ctxq1tqvaCgkFb8cCA/edit#gid=346597447"",""นครพนม!J564"")"),0)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IFERROR(__xludf.DUMMYFUNCTION("IMPORTRANGE(""https://docs.google.com/spreadsheets/d/1XL5vhW3sbDhbH9Cz0tuDiY8C3ctxq1tqvaCgkFb8cCA/edit#gid=346597447"",""นครพนม!J565"")"),0)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IFERROR(__xludf.DUMMYFUNCTION("IMPORTRANGE(""https://docs.google.com/spreadsheets/d/1XL5vhW3sbDhbH9Cz0tuDiY8C3ctxq1tqvaCgkFb8cCA/edit#gid=346597447"",""นครพนม!I566"")"),0)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IFERROR(__xludf.DUMMYFUNCTION("IMPORTRANGE(""https://docs.google.com/spreadsheets/d/1XL5vhW3sbDhbH9Cz0tuDiY8C3ctxq1tqvaCgkFb8cCA/edit#gid=346597447"",""นครพนม!L566"")"),0)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IFERROR(__xludf.DUMMYFUNCTION("IMPORTRANGE(""https://docs.google.com/spreadsheets/d/1XL5vhW3sbDhbH9Cz0tuDiY8C3ctxq1tqvaCgkFb8cCA/edit#gid=346597447"",""นครพนม!M566"")"),0)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IFERROR(__xludf.DUMMYFUNCTION("IMPORTRANGE(""https://docs.google.com/spreadsheets/d/1XL5vhW3sbDhbH9Cz0tuDiY8C3ctxq1tqvaCgkFb8cCA/edit#gid=346597447"",""นครพนม!J567"")"),0)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IFERROR(__xludf.DUMMYFUNCTION("IMPORTRANGE(""https://docs.google.com/spreadsheets/d/1XL5vhW3sbDhbH9Cz0tuDiY8C3ctxq1tqvaCgkFb8cCA/edit#gid=346597447"",""นครพนม!J568"")"),0)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IFERROR(__xludf.DUMMYFUNCTION("IMPORTRANGE(""https://docs.google.com/spreadsheets/d/1XL5vhW3sbDhbH9Cz0tuDiY8C3ctxq1tqvaCgkFb8cCA/edit#gid=346597447"",""นครพนม!J569"")"),0)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IFERROR(__xludf.DUMMYFUNCTION("IMPORTRANGE(""https://docs.google.com/spreadsheets/d/1XL5vhW3sbDhbH9Cz0tuDiY8C3ctxq1tqvaCgkFb8cCA/edit#gid=346597447"",""นครพนม!J570"")"),0)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IFERROR(__xludf.DUMMYFUNCTION("IMPORTRANGE(""https://docs.google.com/spreadsheets/d/1XL5vhW3sbDhbH9Cz0tuDiY8C3ctxq1tqvaCgkFb8cCA/edit#gid=346597447"",""นครพนม!J571"")"),0)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IFERROR(__xludf.DUMMYFUNCTION("IMPORTRANGE(""https://docs.google.com/spreadsheets/d/1XL5vhW3sbDhbH9Cz0tuDiY8C3ctxq1tqvaCgkFb8cCA/edit#gid=346597447"",""นครพนม!J572"")"),0)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2" width="20.140625" customWidth="1"/>
    <col min="13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268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0" t="s">
        <v>2</v>
      </c>
      <c r="B5" s="661"/>
      <c r="C5" s="661"/>
      <c r="D5" s="661"/>
      <c r="E5" s="661"/>
      <c r="F5" s="661"/>
      <c r="G5" s="662"/>
      <c r="H5" s="653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67" t="s">
        <v>15</v>
      </c>
      <c r="B7" s="656"/>
      <c r="C7" s="656"/>
      <c r="D7" s="656"/>
      <c r="E7" s="656"/>
      <c r="F7" s="656"/>
      <c r="G7" s="65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10591906</v>
      </c>
      <c r="M8" s="23">
        <f t="shared" ca="1" si="0"/>
        <v>5081437</v>
      </c>
      <c r="N8" s="23">
        <f t="shared" ca="1" si="0"/>
        <v>7167142.3599999994</v>
      </c>
      <c r="O8" s="22">
        <f t="shared" ref="O8:O16" ca="1" si="1">IF(L8&gt;0,N8*100/L8,0)</f>
        <v>67.666219469848016</v>
      </c>
      <c r="P8" s="22">
        <f t="shared" ref="P8:P16" ca="1" si="2">IF(M8&gt;0,N8*100/M8,0)</f>
        <v>141.04558139754562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10591906</v>
      </c>
      <c r="M10" s="30">
        <f t="shared" ca="1" si="4"/>
        <v>5081437</v>
      </c>
      <c r="N10" s="30">
        <f t="shared" ca="1" si="4"/>
        <v>7167142.3599999994</v>
      </c>
      <c r="O10" s="29">
        <f t="shared" ca="1" si="1"/>
        <v>67.666219469848016</v>
      </c>
      <c r="P10" s="29">
        <f t="shared" ca="1" si="2"/>
        <v>141.04558139754562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10359106</v>
      </c>
      <c r="M12" s="38">
        <f t="shared" ca="1" si="6"/>
        <v>4848637</v>
      </c>
      <c r="N12" s="38">
        <f t="shared" ca="1" si="6"/>
        <v>6934342.3599999994</v>
      </c>
      <c r="O12" s="38">
        <f t="shared" ca="1" si="1"/>
        <v>66.939583010348571</v>
      </c>
      <c r="P12" s="38">
        <f t="shared" ca="1" si="2"/>
        <v>143.01632314400933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7533806</v>
      </c>
      <c r="M14" s="38">
        <f t="shared" si="8"/>
        <v>0</v>
      </c>
      <c r="N14" s="38">
        <f t="shared" ca="1" si="8"/>
        <v>2604209.85</v>
      </c>
      <c r="O14" s="38">
        <f t="shared" ca="1" si="1"/>
        <v>34.566988451786521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67" t="s">
        <v>24</v>
      </c>
      <c r="B17" s="656"/>
      <c r="C17" s="656"/>
      <c r="D17" s="656"/>
      <c r="E17" s="656"/>
      <c r="F17" s="656"/>
      <c r="G17" s="65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5081437</v>
      </c>
      <c r="N18" s="23">
        <f t="shared" ca="1" si="11"/>
        <v>4562932.51</v>
      </c>
      <c r="O18" s="22">
        <f t="shared" ref="O18:O20" ca="1" si="12">IF(L18&gt;0,N18*100/L18,0)</f>
        <v>75.30355819938822</v>
      </c>
      <c r="P18" s="22">
        <f t="shared" ref="P18:P26" ca="1" si="13">IF(M18&gt;0,N18*100/M18,0)</f>
        <v>89.796105117509086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5081437</v>
      </c>
      <c r="N20" s="30">
        <f t="shared" ca="1" si="15"/>
        <v>4562932.51</v>
      </c>
      <c r="O20" s="29">
        <f t="shared" ca="1" si="12"/>
        <v>75.30355819938822</v>
      </c>
      <c r="P20" s="29">
        <f t="shared" ca="1" si="13"/>
        <v>89.796105117509086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4848637</v>
      </c>
      <c r="N22" s="38">
        <f t="shared" ca="1" si="18"/>
        <v>4330132.51</v>
      </c>
      <c r="O22" s="38">
        <f t="shared" ca="1" si="17"/>
        <v>74.316816969116559</v>
      </c>
      <c r="P22" s="38">
        <f t="shared" ca="1" si="13"/>
        <v>89.306180479173833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67" t="s">
        <v>25</v>
      </c>
      <c r="B27" s="656"/>
      <c r="C27" s="656"/>
      <c r="D27" s="656"/>
      <c r="E27" s="656"/>
      <c r="F27" s="656"/>
      <c r="G27" s="65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4532521</v>
      </c>
      <c r="M28" s="23">
        <f t="shared" si="23"/>
        <v>0</v>
      </c>
      <c r="N28" s="23">
        <f t="shared" ca="1" si="23"/>
        <v>2604209.85</v>
      </c>
      <c r="O28" s="22">
        <f t="shared" ref="O28:O30" ca="1" si="24">IF(L28&gt;0,N28*100/L28,0)</f>
        <v>57.456101141064764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4532521</v>
      </c>
      <c r="M30" s="30">
        <f t="shared" si="27"/>
        <v>0</v>
      </c>
      <c r="N30" s="30">
        <f t="shared" ca="1" si="27"/>
        <v>2604209.85</v>
      </c>
      <c r="O30" s="29">
        <f t="shared" ca="1" si="24"/>
        <v>57.456101141064764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4532521</v>
      </c>
      <c r="M32" s="38">
        <f t="shared" si="30"/>
        <v>0</v>
      </c>
      <c r="N32" s="38">
        <f t="shared" ca="1" si="30"/>
        <v>2604209.85</v>
      </c>
      <c r="O32" s="38">
        <f t="shared" ca="1" si="29"/>
        <v>57.456101141064764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4532521</v>
      </c>
      <c r="M34" s="38">
        <f t="shared" si="32"/>
        <v>0</v>
      </c>
      <c r="N34" s="38">
        <f t="shared" ca="1" si="32"/>
        <v>2604209.85</v>
      </c>
      <c r="O34" s="38">
        <f t="shared" ca="1" si="29"/>
        <v>57.456101141064764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5081437</v>
      </c>
      <c r="N37" s="54">
        <f t="shared" ca="1" si="33"/>
        <v>4562932.51</v>
      </c>
      <c r="O37" s="55">
        <f t="shared" ca="1" si="29"/>
        <v>75.30355819938822</v>
      </c>
      <c r="P37" s="55">
        <f t="shared" ca="1" si="25"/>
        <v>89.796105117509086</v>
      </c>
    </row>
    <row r="38" spans="1:16" ht="21.75" customHeight="1" x14ac:dyDescent="0.3">
      <c r="A38" s="670" t="s">
        <v>27</v>
      </c>
      <c r="B38" s="656"/>
      <c r="C38" s="656"/>
      <c r="D38" s="656"/>
      <c r="E38" s="656"/>
      <c r="F38" s="656"/>
      <c r="G38" s="65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71" t="s">
        <v>28</v>
      </c>
      <c r="C39" s="643"/>
      <c r="D39" s="643"/>
      <c r="E39" s="643"/>
      <c r="F39" s="643"/>
      <c r="G39" s="64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922020</v>
      </c>
      <c r="N41" s="78">
        <f t="shared" ca="1" si="34"/>
        <v>889496.37</v>
      </c>
      <c r="O41" s="77">
        <f t="shared" ref="O41:O43" ca="1" si="35">IF(L41&gt;0,N41*100/L41,0)</f>
        <v>77.206524607238961</v>
      </c>
      <c r="P41" s="77">
        <f t="shared" ref="P41:P43" ca="1" si="36">IF(M41&gt;0,N41*100/M41,0)</f>
        <v>96.472567840177007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922020</v>
      </c>
      <c r="N43" s="78">
        <f t="shared" ca="1" si="38"/>
        <v>889496.37</v>
      </c>
      <c r="O43" s="77">
        <f t="shared" ca="1" si="35"/>
        <v>77.206524607238961</v>
      </c>
      <c r="P43" s="77">
        <f t="shared" ca="1" si="36"/>
        <v>96.472567840177007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IFERROR(__xludf.DUMMYFUNCTION("IMPORTRANGE(""https://docs.google.com/spreadsheets/d/1Yj_ptqi66GCucihVvJfMjLAmec39IyEx_6qawtMGysU/edit?usp=sharing"",""สบก!Q42"")"),874020)</f>
        <v>874020</v>
      </c>
      <c r="N45" s="49">
        <f ca="1">IFERROR(__xludf.DUMMYFUNCTION("IMPORTRANGE(""https://docs.google.com/spreadsheets/d/1Yj_ptqi66GCucihVvJfMjLAmec39IyEx_6qawtMGysU/edit?usp=sharing"",""สบก!R42"")"),841496.37)</f>
        <v>841496.37</v>
      </c>
      <c r="O45" s="38">
        <f ca="1">IF(L45&gt;0,N45*100/L45,0)</f>
        <v>76.215593696223166</v>
      </c>
      <c r="P45" s="38">
        <f ca="1">IF(M45&gt;0,N45*100/M45,0)</f>
        <v>96.278846021830162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474492</v>
      </c>
      <c r="N53" s="121">
        <f t="shared" ca="1" si="39"/>
        <v>463460</v>
      </c>
      <c r="O53" s="120">
        <f t="shared" ref="O53:O55" ca="1" si="40">IF(L53&gt;0,N53*100/L53,0)</f>
        <v>79.142759562841533</v>
      </c>
      <c r="P53" s="120">
        <f t="shared" ref="P53:P55" ca="1" si="41">IF(M53&gt;0,N53*100/M53,0)</f>
        <v>97.674987144145746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474492</v>
      </c>
      <c r="N55" s="121">
        <f t="shared" ca="1" si="43"/>
        <v>463460</v>
      </c>
      <c r="O55" s="120">
        <f t="shared" ca="1" si="40"/>
        <v>79.142759562841533</v>
      </c>
      <c r="P55" s="120">
        <f t="shared" ca="1" si="41"/>
        <v>97.674987144145746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IFERROR(__xludf.DUMMYFUNCTION("IMPORTRANGE(""https://docs.google.com/spreadsheets/d/1Yj_ptqi66GCucihVvJfMjLAmec39IyEx_6qawtMGysU/edit?usp=sharing"",""สบก!Z42"")"),474492)</f>
        <v>474492</v>
      </c>
      <c r="N57" s="49">
        <f ca="1">IFERROR(__xludf.DUMMYFUNCTION("IMPORTRANGE(""https://docs.google.com/spreadsheets/d/1Yj_ptqi66GCucihVvJfMjLAmec39IyEx_6qawtMGysU/edit?usp=sharing"",""สบก!AA42"")"),463460)</f>
        <v>463460</v>
      </c>
      <c r="O57" s="38">
        <f ca="1">IF(L57&gt;0,N57*100/L57,0)</f>
        <v>79.142759562841533</v>
      </c>
      <c r="P57" s="38">
        <f ca="1">IF(M57&gt;0,N57*100/M57,0)</f>
        <v>97.674987144145746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295895</v>
      </c>
      <c r="N94" s="152">
        <f t="shared" ca="1" si="52"/>
        <v>288330</v>
      </c>
      <c r="O94" s="151">
        <f t="shared" ref="O94:O96" ca="1" si="53">IF(L94&gt;0,N94*100/L94,0)</f>
        <v>91.019003724982639</v>
      </c>
      <c r="P94" s="151">
        <f t="shared" ref="P94:P96" ca="1" si="54">IF(M94&gt;0,N94*100/M94,0)</f>
        <v>97.443349836935397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295895</v>
      </c>
      <c r="N96" s="157">
        <f t="shared" ca="1" si="56"/>
        <v>288330</v>
      </c>
      <c r="O96" s="156">
        <f t="shared" ca="1" si="53"/>
        <v>91.019003724982639</v>
      </c>
      <c r="P96" s="156">
        <f t="shared" ca="1" si="54"/>
        <v>97.443349836935397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IFERROR(__xludf.DUMMYFUNCTION("IMPORTRANGE(""https://docs.google.com/spreadsheets/d/1Yj_ptqi66GCucihVvJfMjLAmec39IyEx_6qawtMGysU/edit?usp=sharing"",""สบก!AR42"")"),111095)</f>
        <v>111095</v>
      </c>
      <c r="N98" s="169">
        <f ca="1">IFERROR(__xludf.DUMMYFUNCTION("IMPORTRANGE(""https://docs.google.com/spreadsheets/d/1Yj_ptqi66GCucihVvJfMjLAmec39IyEx_6qawtMGysU/edit?usp=sharing"",""สบก!AS42"")"),103530)</f>
        <v>103530</v>
      </c>
      <c r="O98" s="169">
        <f ca="1">IF(L98&gt;0,N98*100/L98,0)</f>
        <v>78.443703591453257</v>
      </c>
      <c r="P98" s="169">
        <f ca="1">IF(M98&gt;0,N98*100/M98,0)</f>
        <v>93.190512624330523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589600</v>
      </c>
      <c r="M140" s="152">
        <f t="shared" ca="1" si="64"/>
        <v>450825</v>
      </c>
      <c r="N140" s="152">
        <f t="shared" ca="1" si="64"/>
        <v>409895.25</v>
      </c>
      <c r="O140" s="151">
        <f t="shared" ref="O140:O142" ca="1" si="65">IF(L140&gt;0,N140*100/L140,0)</f>
        <v>69.520904002713706</v>
      </c>
      <c r="P140" s="151">
        <f t="shared" ref="P140:P142" ca="1" si="66">IF(M140&gt;0,N140*100/M140,0)</f>
        <v>90.921144568291467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589600</v>
      </c>
      <c r="M142" s="157">
        <f t="shared" ca="1" si="68"/>
        <v>450825</v>
      </c>
      <c r="N142" s="157">
        <f t="shared" ca="1" si="68"/>
        <v>409895.25</v>
      </c>
      <c r="O142" s="156">
        <f t="shared" ca="1" si="65"/>
        <v>69.520904002713706</v>
      </c>
      <c r="P142" s="156">
        <f t="shared" ca="1" si="66"/>
        <v>90.921144568291467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589600</v>
      </c>
      <c r="M144" s="168">
        <f ca="1">IFERROR(__xludf.DUMMYFUNCTION("IMPORTRANGE(""https://docs.google.com/spreadsheets/d/1Yj_ptqi66GCucihVvJfMjLAmec39IyEx_6qawtMGysU/edit?usp=sharing"",""สบก!BJ42"")"),450825)</f>
        <v>450825</v>
      </c>
      <c r="N144" s="169">
        <f ca="1">IFERROR(__xludf.DUMMYFUNCTION("IMPORTRANGE(""https://docs.google.com/spreadsheets/d/1Yj_ptqi66GCucihVvJfMjLAmec39IyEx_6qawtMGysU/edit?usp=sharing"",""สบก!BK42"")"),409895.25)</f>
        <v>409895.25</v>
      </c>
      <c r="O144" s="169">
        <f ca="1">IF(L144&gt;0,N144*100/L144,0)</f>
        <v>69.520904002713706</v>
      </c>
      <c r="P144" s="169">
        <f ca="1">IF(M144&gt;0,N144*100/M144,0)</f>
        <v>90.921144568291467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IFERROR(__xludf.DUMMYFUNCTION("IMPORTRANGE(""https://docs.google.com/spreadsheets/d/1Yj_ptqi66GCucihVvJfMjLAmec39IyEx_6qawtMGysU/edit?usp=sharing"",""สบก!BG42"")"),120000)</f>
        <v>120000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IFERROR(__xludf.DUMMYFUNCTION("IMPORTRANGE(""https://docs.google.com/spreadsheets/d/1Yj_ptqi66GCucihVvJfMjLAmec39IyEx_6qawtMGysU/edit?usp=sharing"",""สบก!BS42"")"),21125)</f>
        <v>21125</v>
      </c>
      <c r="N224" s="169">
        <f ca="1">IFERROR(__xludf.DUMMYFUNCTION("IMPORTRANGE(""https://docs.google.com/spreadsheets/d/1Yj_ptqi66GCucihVvJfMjLAmec39IyEx_6qawtMGysU/edit?usp=sharing"",""สบก!BT42"")"),21125)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270100</v>
      </c>
      <c r="N250" s="152">
        <f t="shared" ca="1" si="77"/>
        <v>234969.22</v>
      </c>
      <c r="O250" s="151">
        <f t="shared" ref="O250:O252" ca="1" si="78">IF(L250&gt;0,N250*100/L250,0)</f>
        <v>80.441362547072927</v>
      </c>
      <c r="P250" s="151">
        <f t="shared" ref="P250:P252" ca="1" si="79">IF(M250&gt;0,N250*100/M250,0)</f>
        <v>86.993417252869307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270100</v>
      </c>
      <c r="N252" s="157">
        <f t="shared" ca="1" si="81"/>
        <v>234969.22</v>
      </c>
      <c r="O252" s="156">
        <f t="shared" ca="1" si="78"/>
        <v>80.441362547072927</v>
      </c>
      <c r="P252" s="156">
        <f t="shared" ca="1" si="79"/>
        <v>86.993417252869307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IFERROR(__xludf.DUMMYFUNCTION("IMPORTRANGE(""https://docs.google.com/spreadsheets/d/1Yj_ptqi66GCucihVvJfMjLAmec39IyEx_6qawtMGysU/edit?usp=sharing"",""สบก!CB42"")"),270100)</f>
        <v>270100</v>
      </c>
      <c r="N254" s="169">
        <f ca="1">IFERROR(__xludf.DUMMYFUNCTION("IMPORTRANGE(""https://docs.google.com/spreadsheets/d/1Yj_ptqi66GCucihVvJfMjLAmec39IyEx_6qawtMGysU/edit?usp=sharing"",""สบก!CC42"")"),234969.22)</f>
        <v>234969.22</v>
      </c>
      <c r="O254" s="169">
        <f ca="1">IF(L254&gt;0,N254*100/L254,0)</f>
        <v>80.441362547072927</v>
      </c>
      <c r="P254" s="169">
        <f ca="1">IF(M254&gt;0,N254*100/M254,0)</f>
        <v>86.993417252869307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25290</v>
      </c>
      <c r="O271" s="151">
        <f t="shared" ref="O271:O273" ca="1" si="84">IF(L271&gt;0,N271*100/L271,0)</f>
        <v>34.361413043478258</v>
      </c>
      <c r="P271" s="151">
        <f t="shared" ref="P271:P273" ca="1" si="85">IF(M271&gt;0,N271*100/M271,0)</f>
        <v>76.63636363636364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25290</v>
      </c>
      <c r="O273" s="156">
        <f t="shared" ca="1" si="84"/>
        <v>34.361413043478258</v>
      </c>
      <c r="P273" s="156">
        <f t="shared" ca="1" si="85"/>
        <v>76.63636363636364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73600</v>
      </c>
      <c r="M275" s="168">
        <f ca="1">IFERROR(__xludf.DUMMYFUNCTION("IMPORTRANGE(""https://docs.google.com/spreadsheets/d/1Yj_ptqi66GCucihVvJfMjLAmec39IyEx_6qawtMGysU/edit?usp=sharing"",""สบก!CK42"")"),33000)</f>
        <v>33000</v>
      </c>
      <c r="N275" s="169">
        <f ca="1">IFERROR(__xludf.DUMMYFUNCTION("IMPORTRANGE(""https://docs.google.com/spreadsheets/d/1Yj_ptqi66GCucihVvJfMjLAmec39IyEx_6qawtMGysU/edit?usp=sharing"",""สบก!CL42"")"),25290)</f>
        <v>25290</v>
      </c>
      <c r="O275" s="169">
        <f ca="1">IF(L275&gt;0,N275*100/L275,0)</f>
        <v>34.361413043478258</v>
      </c>
      <c r="P275" s="169">
        <f ca="1">IF(M275&gt;0,N275*100/M275,0)</f>
        <v>76.63636363636364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IFERROR(__xludf.DUMMYFUNCTION("IMPORTRANGE(""https://docs.google.com/spreadsheets/d/1Yj_ptqi66GCucihVvJfMjLAmec39IyEx_6qawtMGysU/edit?usp=sharing"",""สบก!CH42"")"),73600)</f>
        <v>73600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74920</v>
      </c>
      <c r="O290" s="151">
        <f t="shared" ref="O290:O292" ca="1" si="89">IF(L290&gt;0,N290*100/L290,0)</f>
        <v>100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74920</v>
      </c>
      <c r="O292" s="156">
        <f t="shared" ca="1" si="89"/>
        <v>100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IFERROR(__xludf.DUMMYFUNCTION("IMPORTRANGE(""https://docs.google.com/spreadsheets/d/1Yj_ptqi66GCucihVvJfMjLAmec39IyEx_6qawtMGysU/edit?usp=sharing"",""สบก!CT42"")"),74920)</f>
        <v>74920</v>
      </c>
      <c r="N294" s="169">
        <f ca="1">IFERROR(__xludf.DUMMYFUNCTION("IMPORTRANGE(""https://docs.google.com/spreadsheets/d/1Yj_ptqi66GCucihVvJfMjLAmec39IyEx_6qawtMGysU/edit?usp=sharing"",""สบก!CU42"")"),74920)</f>
        <v>74920</v>
      </c>
      <c r="O294" s="169">
        <f ca="1">IF(L294&gt;0,N294*100/L294,0)</f>
        <v>100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335700</v>
      </c>
      <c r="N310" s="152">
        <f t="shared" ca="1" si="93"/>
        <v>230752.9</v>
      </c>
      <c r="O310" s="151">
        <f t="shared" ref="O310:O312" ca="1" si="94">IF(L310&gt;0,N310*100/L310,0)</f>
        <v>51.553373547810544</v>
      </c>
      <c r="P310" s="151">
        <f t="shared" ref="P310:P312" ca="1" si="95">IF(M310&gt;0,N310*100/M310,0)</f>
        <v>68.737831397080726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335700</v>
      </c>
      <c r="N312" s="157">
        <f t="shared" ca="1" si="97"/>
        <v>230752.9</v>
      </c>
      <c r="O312" s="156">
        <f t="shared" ca="1" si="94"/>
        <v>51.553373547810544</v>
      </c>
      <c r="P312" s="156">
        <f t="shared" ca="1" si="95"/>
        <v>68.737831397080726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IFERROR(__xludf.DUMMYFUNCTION("IMPORTRANGE(""https://docs.google.com/spreadsheets/d/1Yj_ptqi66GCucihVvJfMjLAmec39IyEx_6qawtMGysU/edit?usp=sharing"",""สบก!DC42"")"),335700)</f>
        <v>335700</v>
      </c>
      <c r="N314" s="169">
        <f ca="1">IFERROR(__xludf.DUMMYFUNCTION("IMPORTRANGE(""https://docs.google.com/spreadsheets/d/1Yj_ptqi66GCucihVvJfMjLAmec39IyEx_6qawtMGysU/edit?usp=sharing"",""สบก!DD42"")"),230752.9)</f>
        <v>230752.9</v>
      </c>
      <c r="O314" s="169">
        <f ca="1">IF(L314&gt;0,N314*100/L314,0)</f>
        <v>51.553373547810544</v>
      </c>
      <c r="P314" s="169">
        <f ca="1">IF(M314&gt;0,N314*100/M314,0)</f>
        <v>68.737831397080726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IFERROR(__xludf.DUMMYFUNCTION("IMPORTRANGE(""https://docs.google.com/spreadsheets/d/1XL5vhW3sbDhbH9Cz0tuDiY8C3ctxq1tqvaCgkFb8cCA/edit?usp=sharing"",""นครราชสีมา!J228"")"),1098)</f>
        <v>1098</v>
      </c>
      <c r="K328" s="318">
        <f ca="1">IF(I328&gt;0,J328*100/I328,0)</f>
        <v>70.838709677419359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2203360</v>
      </c>
      <c r="N329" s="152">
        <f t="shared" ca="1" si="98"/>
        <v>1924693.77</v>
      </c>
      <c r="O329" s="151">
        <f t="shared" ref="O329:O331" ca="1" si="99">IF(L329&gt;0,N329*100/L329,0)</f>
        <v>76.804648517933245</v>
      </c>
      <c r="P329" s="151">
        <f t="shared" ref="P329:P331" ca="1" si="100">IF(M329&gt;0,N329*100/M329,0)</f>
        <v>87.352669105366346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2203360</v>
      </c>
      <c r="N331" s="157">
        <f t="shared" ca="1" si="102"/>
        <v>1924693.77</v>
      </c>
      <c r="O331" s="156">
        <f t="shared" ca="1" si="99"/>
        <v>76.804648517933245</v>
      </c>
      <c r="P331" s="156">
        <f t="shared" ca="1" si="100"/>
        <v>87.352669105366346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IFERROR(__xludf.DUMMYFUNCTION("IMPORTRANGE(""https://docs.google.com/spreadsheets/d/1Yj_ptqi66GCucihVvJfMjLAmec39IyEx_6qawtMGysU/edit?usp=sharing"",""สบก!DL42"")"),2203360)</f>
        <v>2203360</v>
      </c>
      <c r="N333" s="169">
        <f ca="1">IFERROR(__xludf.DUMMYFUNCTION("IMPORTRANGE(""https://docs.google.com/spreadsheets/d/1Yj_ptqi66GCucihVvJfMjLAmec39IyEx_6qawtMGysU/edit?usp=sharing"",""สบก!DM42"")"),1924693.77)</f>
        <v>1924693.77</v>
      </c>
      <c r="O333" s="169">
        <f ca="1">IF(L333&gt;0,N333*100/L333,0)</f>
        <v>76.804648517933245</v>
      </c>
      <c r="P333" s="169">
        <f ca="1">IF(M333&gt;0,N333*100/M333,0)</f>
        <v>87.352669105366346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IFERROR(__xludf.DUMMYFUNCTION("IMPORTRANGE(""https://docs.google.com/spreadsheets/d/1XL5vhW3sbDhbH9Cz0tuDiY8C3ctxq1tqvaCgkFb8cCA/edit?usp=sharing"",""นครราชสีมา!J234"")"),1276)</f>
        <v>1276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IFERROR(__xludf.DUMMYFUNCTION("IMPORTRANGE(""https://docs.google.com/spreadsheets/d/1XL5vhW3sbDhbH9Cz0tuDiY8C3ctxq1tqvaCgkFb8cCA/edit?usp=sharing"",""นครราชสีมา!J235"")"),12996.66)</f>
        <v>12996.66</v>
      </c>
      <c r="K340" s="343">
        <f t="shared" ca="1" si="103"/>
        <v>83.31192307692308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IFERROR(__xludf.DUMMYFUNCTION("IMPORTRANGE(""https://docs.google.com/spreadsheets/d/1XL5vhW3sbDhbH9Cz0tuDiY8C3ctxq1tqvaCgkFb8cCA/edit?usp=sharing"",""นครราชสีมา!J236"")"),1744)</f>
        <v>1744</v>
      </c>
      <c r="K341" s="343">
        <f t="shared" ca="1" si="103"/>
        <v>112.51612903225806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IFERROR(__xludf.DUMMYFUNCTION("IMPORTRANGE(""https://docs.google.com/spreadsheets/d/1XL5vhW3sbDhbH9Cz0tuDiY8C3ctxq1tqvaCgkFb8cCA/edit?usp=sharing"",""นครราชสีมา!J237"")"),22514.14)</f>
        <v>22514.14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IFERROR(__xludf.DUMMYFUNCTION("IMPORTRANGE(""https://docs.google.com/spreadsheets/d/1XL5vhW3sbDhbH9Cz0tuDiY8C3ctxq1tqvaCgkFb8cCA/edit?usp=sharing"",""นครราชสีมา!J240"")"),1098)</f>
        <v>1098</v>
      </c>
      <c r="K345" s="343">
        <f t="shared" ca="1" si="103"/>
        <v>70.838709677419359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IFERROR(__xludf.DUMMYFUNCTION("IMPORTRANGE(""https://docs.google.com/spreadsheets/d/1XL5vhW3sbDhbH9Cz0tuDiY8C3ctxq1tqvaCgkFb8cCA/edit?usp=sharing"",""นครราชสีมา!J241"")"),15489.2)</f>
        <v>15489.2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IFERROR(__xludf.DUMMYFUNCTION("IMPORTRANGE(""https://docs.google.com/spreadsheets/d/1XL5vhW3sbDhbH9Cz0tuDiY8C3ctxq1tqvaCgkFb8cCA/edit?usp=sharing"",""นครราชสีมา!L242"")"),4532521)</f>
        <v>4532521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IFERROR(__xludf.DUMMYFUNCTION("IMPORTRANGE(""https://docs.google.com/spreadsheets/d/1XL5vhW3sbDhbH9Cz0tuDiY8C3ctxq1tqvaCgkFb8cCA/edit?usp=sharing"",""นครราชสีมา!M242"")"),2604209.85)</f>
        <v>2604209.85</v>
      </c>
      <c r="O347" s="358">
        <f ca="1">+IF(L347&gt;0,N347*100/L347,0)</f>
        <v>57.456101141064764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IFERROR(__xludf.DUMMYFUNCTION("IMPORTRANGE(""https://docs.google.com/spreadsheets/d/1XL5vhW3sbDhbH9Cz0tuDiY8C3ctxq1tqvaCgkFb8cCA/edit?usp=sharing"",""นครราชสีมา!M244"")"),436399.92)</f>
        <v>436399.92</v>
      </c>
      <c r="O349" s="373">
        <f ca="1">+IF(L349&gt;0,N349*100/L349,0)</f>
        <v>82.464081632653063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IFERROR(__xludf.DUMMYFUNCTION("IMPORTRANGE(""https://docs.google.com/spreadsheets/d/1XL5vhW3sbDhbH9Cz0tuDiY8C3ctxq1tqvaCgkFb8cCA/edit?usp=sharing"",""นครราชสีมา!M247"")"),436399.92)</f>
        <v>436399.92</v>
      </c>
      <c r="O352" s="165">
        <f t="shared" ca="1" si="105"/>
        <v>82.464081632653063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IFERROR(__xludf.DUMMYFUNCTION("IMPORTRANGE(""https://docs.google.com/spreadsheets/d/1XL5vhW3sbDhbH9Cz0tuDiY8C3ctxq1tqvaCgkFb8cCA/edit?usp=sharing"",""นครราชสีมา!M249"")"),436399.92)</f>
        <v>436399.92</v>
      </c>
      <c r="O354" s="169">
        <f t="shared" ca="1" si="105"/>
        <v>82.464081632653063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IFERROR(__xludf.DUMMYFUNCTION("IMPORTRANGE(""https://docs.google.com/spreadsheets/d/1XL5vhW3sbDhbH9Cz0tuDiY8C3ctxq1tqvaCgkFb8cCA/edit?usp=sharing"",""นครราชสีมา!M252"")"),88399.92)</f>
        <v>88399.92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IFERROR(__xludf.DUMMYFUNCTION("IMPORTRANGE(""https://docs.google.com/spreadsheets/d/1XL5vhW3sbDhbH9Cz0tuDiY8C3ctxq1tqvaCgkFb8cCA/edit?usp=sharing"",""นครราชสีมา!M275"")"),157400)</f>
        <v>157400</v>
      </c>
      <c r="O380" s="373">
        <f ca="1">+IF(L380&gt;0,N380*100/L380,0)</f>
        <v>15.303542954925524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IFERROR(__xludf.DUMMYFUNCTION("IMPORTRANGE(""https://docs.google.com/spreadsheets/d/1XL5vhW3sbDhbH9Cz0tuDiY8C3ctxq1tqvaCgkFb8cCA/edit?usp=sharing"",""นครราชสีมา!M278"")"),157400)</f>
        <v>157400</v>
      </c>
      <c r="O383" s="165">
        <f t="shared" ca="1" si="109"/>
        <v>15.303542954925524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IFERROR(__xludf.DUMMYFUNCTION("IMPORTRANGE(""https://docs.google.com/spreadsheets/d/1XL5vhW3sbDhbH9Cz0tuDiY8C3ctxq1tqvaCgkFb8cCA/edit?usp=sharing"",""นครราชสีมา!M280"")"),157400)</f>
        <v>157400</v>
      </c>
      <c r="O385" s="169">
        <f t="shared" ca="1" si="109"/>
        <v>15.303542954925524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IFERROR(__xludf.DUMMYFUNCTION("IMPORTRANGE(""https://docs.google.com/spreadsheets/d/1XL5vhW3sbDhbH9Cz0tuDiY8C3ctxq1tqvaCgkFb8cCA/edit?usp=sharing"",""นครราชสีมา!M281"")"),56400)</f>
        <v>56400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IFERROR(__xludf.DUMMYFUNCTION("IMPORTRANGE(""https://docs.google.com/spreadsheets/d/1XL5vhW3sbDhbH9Cz0tuDiY8C3ctxq1tqvaCgkFb8cCA/edit?usp=sharing"",""นครราชสีมา!M283"")"),82400)</f>
        <v>82400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IFERROR(__xludf.DUMMYFUNCTION("IMPORTRANGE(""https://docs.google.com/spreadsheets/d/1XL5vhW3sbDhbH9Cz0tuDiY8C3ctxq1tqvaCgkFb8cCA/edit?usp=sharing"",""นครราชสีมา!M284"")"),18600)</f>
        <v>18600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IFERROR(__xludf.DUMMYFUNCTION("IMPORTRANGE(""https://docs.google.com/spreadsheets/d/1XL5vhW3sbDhbH9Cz0tuDiY8C3ctxq1tqvaCgkFb8cCA/edit?usp=sharing"",""นครราชสีมา!M296"")"),282045)</f>
        <v>282045</v>
      </c>
      <c r="O401" s="373">
        <f ca="1">+IF(L401&gt;0,N401*100/L401,0)</f>
        <v>90.800656751014102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IFERROR(__xludf.DUMMYFUNCTION("IMPORTRANGE(""https://docs.google.com/spreadsheets/d/1XL5vhW3sbDhbH9Cz0tuDiY8C3ctxq1tqvaCgkFb8cCA/edit?usp=sharing"",""นครราชสีมา!M299"")"),282045)</f>
        <v>282045</v>
      </c>
      <c r="O404" s="169">
        <f t="shared" ca="1" si="112"/>
        <v>90.800656751014102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IFERROR(__xludf.DUMMYFUNCTION("IMPORTRANGE(""https://docs.google.com/spreadsheets/d/1XL5vhW3sbDhbH9Cz0tuDiY8C3ctxq1tqvaCgkFb8cCA/edit?usp=sharing"",""นครราชสีมา!M301"")"),282045)</f>
        <v>282045</v>
      </c>
      <c r="O406" s="169">
        <f t="shared" ca="1" si="112"/>
        <v>90.800656751014102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IFERROR(__xludf.DUMMYFUNCTION("IMPORTRANGE(""https://docs.google.com/spreadsheets/d/1XL5vhW3sbDhbH9Cz0tuDiY8C3ctxq1tqvaCgkFb8cCA/edit?usp=sharing"",""นครราชสีมา!M305"")"),14025)</f>
        <v>14025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IFERROR(__xludf.DUMMYFUNCTION("IMPORTRANGE(""https://docs.google.com/spreadsheets/d/1XL5vhW3sbDhbH9Cz0tuDiY8C3ctxq1tqvaCgkFb8cCA/edit?usp=sharing"",""นครราชสีมา!L330"")"),162000)</f>
        <v>162000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IFERROR(__xludf.DUMMYFUNCTION("IMPORTRANGE(""https://docs.google.com/spreadsheets/d/1XL5vhW3sbDhbH9Cz0tuDiY8C3ctxq1tqvaCgkFb8cCA/edit?usp=sharing"",""นครราชสีมา!M330"")"),130900)</f>
        <v>130900</v>
      </c>
      <c r="O435" s="412">
        <f t="shared" ref="O435:O439" ca="1" si="114">+IF(L435&gt;0,N435*100/L435,0)</f>
        <v>80.802469135802468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IFERROR(__xludf.DUMMYFUNCTION("IMPORTRANGE(""https://docs.google.com/spreadsheets/d/1XL5vhW3sbDhbH9Cz0tuDiY8C3ctxq1tqvaCgkFb8cCA/edit?usp=sharing"",""นครราชสีมา!L332"")"),162000)</f>
        <v>162000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IFERROR(__xludf.DUMMYFUNCTION("IMPORTRANGE(""https://docs.google.com/spreadsheets/d/1XL5vhW3sbDhbH9Cz0tuDiY8C3ctxq1tqvaCgkFb8cCA/edit?usp=sharing"",""นครราชสีมา!M332"")"),130900)</f>
        <v>130900</v>
      </c>
      <c r="O437" s="169">
        <f t="shared" ca="1" si="114"/>
        <v>80.802469135802468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IFERROR(__xludf.DUMMYFUNCTION("IMPORTRANGE(""https://docs.google.com/spreadsheets/d/1XL5vhW3sbDhbH9Cz0tuDiY8C3ctxq1tqvaCgkFb8cCA/edit?usp=sharing"",""นครราชสีมา!L334"")"),162000)</f>
        <v>162000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IFERROR(__xludf.DUMMYFUNCTION("IMPORTRANGE(""https://docs.google.com/spreadsheets/d/1XL5vhW3sbDhbH9Cz0tuDiY8C3ctxq1tqvaCgkFb8cCA/edit?usp=sharing"",""นครราชสีมา!M334"")"),130900)</f>
        <v>130900</v>
      </c>
      <c r="O439" s="169">
        <f t="shared" ca="1" si="114"/>
        <v>80.802469135802468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IFERROR(__xludf.DUMMYFUNCTION("IMPORTRANGE(""https://docs.google.com/spreadsheets/d/1XL5vhW3sbDhbH9Cz0tuDiY8C3ctxq1tqvaCgkFb8cCA/edit?usp=sharing"",""นครราชสีมา!M338"")"),130900)</f>
        <v>130900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IFERROR(__xludf.DUMMYFUNCTION("IMPORTRANGE(""https://docs.google.com/spreadsheets/d/1XL5vhW3sbDhbH9Cz0tuDiY8C3ctxq1tqvaCgkFb8cCA/edit?usp=sharing"",""นครราชสีมา!L350"")"),759441)</f>
        <v>759441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IFERROR(__xludf.DUMMYFUNCTION("IMPORTRANGE(""https://docs.google.com/spreadsheets/d/1XL5vhW3sbDhbH9Cz0tuDiY8C3ctxq1tqvaCgkFb8cCA/edit?usp=sharing"",""นครราชสีมา!M350"")"),257004.08)</f>
        <v>257004.08</v>
      </c>
      <c r="O455" s="373">
        <f t="shared" ref="O455:O459" ca="1" si="116">+IF(L455&gt;0,N455*100/L455,0)</f>
        <v>33.841217421761534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IFERROR(__xludf.DUMMYFUNCTION("IMPORTRANGE(""https://docs.google.com/spreadsheets/d/1XL5vhW3sbDhbH9Cz0tuDiY8C3ctxq1tqvaCgkFb8cCA/edit?usp=sharing"",""นครราชสีมา!L352"")"),759441)</f>
        <v>759441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IFERROR(__xludf.DUMMYFUNCTION("IMPORTRANGE(""https://docs.google.com/spreadsheets/d/1XL5vhW3sbDhbH9Cz0tuDiY8C3ctxq1tqvaCgkFb8cCA/edit?usp=sharing"",""นครราชสีมา!M352"")"),257004.08)</f>
        <v>257004.08</v>
      </c>
      <c r="O457" s="169">
        <f t="shared" ca="1" si="116"/>
        <v>33.841217421761534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IFERROR(__xludf.DUMMYFUNCTION("IMPORTRANGE(""https://docs.google.com/spreadsheets/d/1XL5vhW3sbDhbH9Cz0tuDiY8C3ctxq1tqvaCgkFb8cCA/edit?usp=sharing"",""นครราชสีมา!L354"")"),759441)</f>
        <v>759441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IFERROR(__xludf.DUMMYFUNCTION("IMPORTRANGE(""https://docs.google.com/spreadsheets/d/1XL5vhW3sbDhbH9Cz0tuDiY8C3ctxq1tqvaCgkFb8cCA/edit?usp=sharing"",""นครราชสีมา!M354"")"),257004.08)</f>
        <v>257004.08</v>
      </c>
      <c r="O459" s="169">
        <f t="shared" ca="1" si="116"/>
        <v>33.841217421761534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IFERROR(__xludf.DUMMYFUNCTION("IMPORTRANGE(""https://docs.google.com/spreadsheets/d/1XL5vhW3sbDhbH9Cz0tuDiY8C3ctxq1tqvaCgkFb8cCA/edit?usp=sharing"",""นครราชสีมา!M357"")"),74800.08)</f>
        <v>74800.08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IFERROR(__xludf.DUMMYFUNCTION("IMPORTRANGE(""https://docs.google.com/spreadsheets/d/1XL5vhW3sbDhbH9Cz0tuDiY8C3ctxq1tqvaCgkFb8cCA/edit?usp=sharing"",""นครราชสีมา!M358"")"),182204)</f>
        <v>182204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IFERROR(__xludf.DUMMYFUNCTION("IMPORTRANGE(""https://docs.google.com/spreadsheets/d/1XL5vhW3sbDhbH9Cz0tuDiY8C3ctxq1tqvaCgkFb8cCA/edit?usp=sharing"",""นครราชสีมา!M430"")"),26450)</f>
        <v>26450</v>
      </c>
      <c r="O535" s="169">
        <f t="shared" ca="1" si="118"/>
        <v>73.390677025527197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IFERROR(__xludf.DUMMYFUNCTION("IMPORTRANGE(""https://docs.google.com/spreadsheets/d/1XL5vhW3sbDhbH9Cz0tuDiY8C3ctxq1tqvaCgkFb8cCA/edit?usp=sharing"",""นครราชสีมา!M432"")"),26450)</f>
        <v>26450</v>
      </c>
      <c r="O537" s="169">
        <f t="shared" ca="1" si="118"/>
        <v>73.390677025527197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IFERROR(__xludf.DUMMYFUNCTION("IMPORTRANGE(""https://docs.google.com/spreadsheets/d/1XL5vhW3sbDhbH9Cz0tuDiY8C3ctxq1tqvaCgkFb8cCA/edit?usp=sharing"",""นครราชสีมา!J446"")"),3400)</f>
        <v>3400</v>
      </c>
      <c r="K551" s="411">
        <f ca="1">IF(I551&gt;0,J551*100/I551,0)</f>
        <v>68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IFERROR(__xludf.DUMMYFUNCTION("IMPORTRANGE(""https://docs.google.com/spreadsheets/d/1XL5vhW3sbDhbH9Cz0tuDiY8C3ctxq1tqvaCgkFb8cCA/edit?usp=sharing"",""นครราชสีมา!M446"")"),310040.5)</f>
        <v>310040.5</v>
      </c>
      <c r="O551" s="412">
        <f t="shared" ref="O551:O555" ca="1" si="120">+IF(L551&gt;0,N551*100/L551,0)</f>
        <v>96.887656250000006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IFERROR(__xludf.DUMMYFUNCTION("IMPORTRANGE(""https://docs.google.com/spreadsheets/d/1XL5vhW3sbDhbH9Cz0tuDiY8C3ctxq1tqvaCgkFb8cCA/edit?usp=sharing"",""นครราชสีมา!M448"")"),310040.5)</f>
        <v>310040.5</v>
      </c>
      <c r="O553" s="169">
        <f t="shared" ca="1" si="120"/>
        <v>96.887656250000006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IFERROR(__xludf.DUMMYFUNCTION("IMPORTRANGE(""https://docs.google.com/spreadsheets/d/1XL5vhW3sbDhbH9Cz0tuDiY8C3ctxq1tqvaCgkFb8cCA/edit?usp=sharing"",""นครราชสีมา!M450"")"),310040.5)</f>
        <v>310040.5</v>
      </c>
      <c r="O555" s="169">
        <f t="shared" ca="1" si="120"/>
        <v>96.887656250000006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IFERROR(__xludf.DUMMYFUNCTION("IMPORTRANGE(""https://docs.google.com/spreadsheets/d/1XL5vhW3sbDhbH9Cz0tuDiY8C3ctxq1tqvaCgkFb8cCA/edit?usp=sharing"",""นครราชสีมา!M454"")"),310040.5)</f>
        <v>310040.5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IFERROR(__xludf.DUMMYFUNCTION("IMPORTRANGE(""https://docs.google.com/spreadsheets/d/1XL5vhW3sbDhbH9Cz0tuDiY8C3ctxq1tqvaCgkFb8cCA/edit?usp=sharing"",""นครราชสีมา!J455"")"),3400)</f>
        <v>3400</v>
      </c>
      <c r="K560" s="225">
        <f t="shared" ref="K560:K561" ca="1" si="121">IF(I560&gt;0,J560*100/I560,0)</f>
        <v>68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IFERROR(__xludf.DUMMYFUNCTION("IMPORTRANGE(""https://docs.google.com/spreadsheets/d/1XL5vhW3sbDhbH9Cz0tuDiY8C3ctxq1tqvaCgkFb8cCA/edit?usp=sharing"",""นครราชสีมา!J456"")"),193)</f>
        <v>193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IFERROR(__xludf.DUMMYFUNCTION("IMPORTRANGE(""https://docs.google.com/spreadsheets/d/1XL5vhW3sbDhbH9Cz0tuDiY8C3ctxq1tqvaCgkFb8cCA/edit?usp=sharing"",""นครราชสีมา!J459"")"),17506)</f>
        <v>17506</v>
      </c>
      <c r="K564" s="372">
        <f ca="1">IF(I564&gt;0,J564*100/I564,0)</f>
        <v>194.51111111111112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IFERROR(__xludf.DUMMYFUNCTION("IMPORTRANGE(""https://docs.google.com/spreadsheets/d/1XL5vhW3sbDhbH9Cz0tuDiY8C3ctxq1tqvaCgkFb8cCA/edit?usp=sharing"",""นครราชสีมา!M459"")"),175420.74)</f>
        <v>175420.74</v>
      </c>
      <c r="O564" s="373">
        <f t="shared" ref="O564:O568" ca="1" si="122">+IF(L564&gt;0,N564*100/L564,0)</f>
        <v>83.059062499999996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IFERROR(__xludf.DUMMYFUNCTION("IMPORTRANGE(""https://docs.google.com/spreadsheets/d/1XL5vhW3sbDhbH9Cz0tuDiY8C3ctxq1tqvaCgkFb8cCA/edit?usp=sharing"",""นครราชสีมา!M461"")"),175420.74)</f>
        <v>175420.74</v>
      </c>
      <c r="O566" s="169">
        <f t="shared" ca="1" si="122"/>
        <v>83.059062499999996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IFERROR(__xludf.DUMMYFUNCTION("IMPORTRANGE(""https://docs.google.com/spreadsheets/d/1XL5vhW3sbDhbH9Cz0tuDiY8C3ctxq1tqvaCgkFb8cCA/edit?usp=sharing"",""นครราชสีมา!M463"")"),175420.74)</f>
        <v>175420.74</v>
      </c>
      <c r="O568" s="169">
        <f t="shared" ca="1" si="122"/>
        <v>83.059062499999996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IFERROR(__xludf.DUMMYFUNCTION("IMPORTRANGE(""https://docs.google.com/spreadsheets/d/1XL5vhW3sbDhbH9Cz0tuDiY8C3ctxq1tqvaCgkFb8cCA/edit?usp=sharing"",""นครราชสีมา!M466"")"),74066.74)</f>
        <v>74066.740000000005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IFERROR(__xludf.DUMMYFUNCTION("IMPORTRANGE(""https://docs.google.com/spreadsheets/d/1XL5vhW3sbDhbH9Cz0tuDiY8C3ctxq1tqvaCgkFb8cCA/edit?usp=sharing"",""นครราชสีมา!M467"")"),101354)</f>
        <v>101354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IFERROR(__xludf.DUMMYFUNCTION("IMPORTRANGE(""https://docs.google.com/spreadsheets/d/1XL5vhW3sbDhbH9Cz0tuDiY8C3ctxq1tqvaCgkFb8cCA/edit?usp=sharing"",""นครราชสีมา!J468"")"),17506)</f>
        <v>17506</v>
      </c>
      <c r="K573" s="202">
        <f ca="1">IF(I573&gt;0,J573*100/I573,0)</f>
        <v>194.51111111111112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IFERROR(__xludf.DUMMYFUNCTION("IMPORTRANGE(""https://docs.google.com/spreadsheets/d/1XL5vhW3sbDhbH9Cz0tuDiY8C3ctxq1tqvaCgkFb8cCA/edit?usp=sharing"",""นครราชสีมา!J470"")"),13)</f>
        <v>13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IFERROR(__xludf.DUMMYFUNCTION("IMPORTRANGE(""https://docs.google.com/spreadsheets/d/1XL5vhW3sbDhbH9Cz0tuDiY8C3ctxq1tqvaCgkFb8cCA/edit?usp=sharing"",""นครราชสีมา!J471"")"),2265)</f>
        <v>2265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IFERROR(__xludf.DUMMYFUNCTION("IMPORTRANGE(""https://docs.google.com/spreadsheets/d/1XL5vhW3sbDhbH9Cz0tuDiY8C3ctxq1tqvaCgkFb8cCA/edit?usp=sharing"",""นครราชสีมา!J472"")"),15239)</f>
        <v>15239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IFERROR(__xludf.DUMMYFUNCTION("IMPORTRANGE(""https://docs.google.com/spreadsheets/d/1XL5vhW3sbDhbH9Cz0tuDiY8C3ctxq1tqvaCgkFb8cCA/edit?usp=sharing"",""นครราชสีมา!J475"")"),39)</f>
        <v>39</v>
      </c>
      <c r="K580" s="372">
        <f ca="1">IF(I580&gt;0,J580*100/I580,0)</f>
        <v>1.95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IFERROR(__xludf.DUMMYFUNCTION("IMPORTRANGE(""https://docs.google.com/spreadsheets/d/1XL5vhW3sbDhbH9Cz0tuDiY8C3ctxq1tqvaCgkFb8cCA/edit?usp=sharing"",""นครราชสีมา!M475"")"),825149.61)</f>
        <v>825149.61</v>
      </c>
      <c r="O580" s="373">
        <f t="shared" ref="O580:O584" ca="1" si="124">+IF(L580&gt;0,N580*100/L580,0)</f>
        <v>72.090652629739651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IFERROR(__xludf.DUMMYFUNCTION("IMPORTRANGE(""https://docs.google.com/spreadsheets/d/1XL5vhW3sbDhbH9Cz0tuDiY8C3ctxq1tqvaCgkFb8cCA/edit?usp=sharing"",""นครราชสีมา!M477"")"),825149.61)</f>
        <v>825149.61</v>
      </c>
      <c r="O582" s="169">
        <f t="shared" ca="1" si="124"/>
        <v>72.090652629739651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IFERROR(__xludf.DUMMYFUNCTION("IMPORTRANGE(""https://docs.google.com/spreadsheets/d/1XL5vhW3sbDhbH9Cz0tuDiY8C3ctxq1tqvaCgkFb8cCA/edit?usp=sharing"",""นครราชสีมา!M479"")"),825149.61)</f>
        <v>825149.61</v>
      </c>
      <c r="O584" s="169">
        <f t="shared" ca="1" si="124"/>
        <v>72.090652629739651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IFERROR(__xludf.DUMMYFUNCTION("IMPORTRANGE(""https://docs.google.com/spreadsheets/d/1XL5vhW3sbDhbH9Cz0tuDiY8C3ctxq1tqvaCgkFb8cCA/edit?usp=sharing"",""นครราชสีมา!M482"")"),223666.9)</f>
        <v>223666.9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IFERROR(__xludf.DUMMYFUNCTION("IMPORTRANGE(""https://docs.google.com/spreadsheets/d/1XL5vhW3sbDhbH9Cz0tuDiY8C3ctxq1tqvaCgkFb8cCA/edit?usp=sharing"",""นครราชสีมา!M483"")"),601482.71)</f>
        <v>601482.71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IFERROR(__xludf.DUMMYFUNCTION("IMPORTRANGE(""https://docs.google.com/spreadsheets/d/1XL5vhW3sbDhbH9Cz0tuDiY8C3ctxq1tqvaCgkFb8cCA/edit?usp=sharing"",""นครราชสีมา!I484"")"),2000)</f>
        <v>2000</v>
      </c>
      <c r="J589" s="188">
        <f ca="1">IFERROR(__xludf.DUMMYFUNCTION("IMPORTRANGE(""https://docs.google.com/spreadsheets/d/1XL5vhW3sbDhbH9Cz0tuDiY8C3ctxq1tqvaCgkFb8cCA/edit?usp=sharing"",""นครราชสีมา!J484"")"),1191)</f>
        <v>1191</v>
      </c>
      <c r="K589" s="163">
        <f t="shared" ref="K589:K596" ca="1" si="125">IF(I589&gt;0,J589*100/I589,0)</f>
        <v>59.55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IFERROR(__xludf.DUMMYFUNCTION("IMPORTRANGE(""https://docs.google.com/spreadsheets/d/1XL5vhW3sbDhbH9Cz0tuDiY8C3ctxq1tqvaCgkFb8cCA/edit?usp=sharing"",""นครราชสีมา!J485"")"),715.28)</f>
        <v>715.28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IFERROR(__xludf.DUMMYFUNCTION("IMPORTRANGE(""https://docs.google.com/spreadsheets/d/1XL5vhW3sbDhbH9Cz0tuDiY8C3ctxq1tqvaCgkFb8cCA/edit?usp=sharing"",""นครราชสีมา!I486"")"),2000)</f>
        <v>2000</v>
      </c>
      <c r="J591" s="188">
        <f ca="1">IFERROR(__xludf.DUMMYFUNCTION("IMPORTRANGE(""https://docs.google.com/spreadsheets/d/1XL5vhW3sbDhbH9Cz0tuDiY8C3ctxq1tqvaCgkFb8cCA/edit?usp=sharing"",""นครราชสีมา!J486"")"),1021)</f>
        <v>1021</v>
      </c>
      <c r="K591" s="163">
        <f t="shared" ca="1" si="125"/>
        <v>51.05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IFERROR(__xludf.DUMMYFUNCTION("IMPORTRANGE(""https://docs.google.com/spreadsheets/d/1XL5vhW3sbDhbH9Cz0tuDiY8C3ctxq1tqvaCgkFb8cCA/edit?usp=sharing"",""นครราชสีมา!J487"")"),657.6)</f>
        <v>657.6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IFERROR(__xludf.DUMMYFUNCTION("IMPORTRANGE(""https://docs.google.com/spreadsheets/d/1XL5vhW3sbDhbH9Cz0tuDiY8C3ctxq1tqvaCgkFb8cCA/edit?usp=sharing"",""นครราชสีมา!I488"")"),2000)</f>
        <v>2000</v>
      </c>
      <c r="J593" s="188">
        <f ca="1">IFERROR(__xludf.DUMMYFUNCTION("IMPORTRANGE(""https://docs.google.com/spreadsheets/d/1XL5vhW3sbDhbH9Cz0tuDiY8C3ctxq1tqvaCgkFb8cCA/edit?usp=sharing"",""นครราชสีมา!J488"")"),0)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IFERROR(__xludf.DUMMYFUNCTION("IMPORTRANGE(""https://docs.google.com/spreadsheets/d/1XL5vhW3sbDhbH9Cz0tuDiY8C3ctxq1tqvaCgkFb8cCA/edit?usp=sharing"",""นครราชสีมา!I490"")"),2000)</f>
        <v>2000</v>
      </c>
      <c r="J595" s="188">
        <f ca="1">IFERROR(__xludf.DUMMYFUNCTION("IMPORTRANGE(""https://docs.google.com/spreadsheets/d/1XL5vhW3sbDhbH9Cz0tuDiY8C3ctxq1tqvaCgkFb8cCA/edit?usp=sharing"",""นครราชสีมา!J490"")"),39)</f>
        <v>39</v>
      </c>
      <c r="K595" s="163">
        <f t="shared" ca="1" si="125"/>
        <v>1.95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IFERROR(__xludf.DUMMYFUNCTION("IMPORTRANGE(""https://docs.google.com/spreadsheets/d/1XL5vhW3sbDhbH9Cz0tuDiY8C3ctxq1tqvaCgkFb8cCA/edit?usp=sharing"",""นครราชสีมา!J491"")"),26.88)</f>
        <v>26.88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IFERROR(__xludf.DUMMYFUNCTION("IMPORTRANGE(""https://docs.google.com/spreadsheets/d/1XL5vhW3sbDhbH9Cz0tuDiY8C3ctxq1tqvaCgkFb8cCA/edit?usp=sharing"",""นครราชสีมา!L494"")"),30900)</f>
        <v>30900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11.003236245954692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IFERROR(__xludf.DUMMYFUNCTION("IMPORTRANGE(""https://docs.google.com/spreadsheets/d/1XL5vhW3sbDhbH9Cz0tuDiY8C3ctxq1tqvaCgkFb8cCA/edit?usp=sharing"",""นครราชสีมา!L496"")"),30900)</f>
        <v>30900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11.003236245954692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8"/>
      <c r="E609" s="489" t="s">
        <v>46</v>
      </c>
      <c r="F609" s="490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8"/>
      <c r="E610" s="489" t="s">
        <v>47</v>
      </c>
      <c r="F610" s="490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IFERROR(__xludf.DUMMYFUNCTION("IMPORTRANGE(""https://docs.google.com/spreadsheets/d/1XL5vhW3sbDhbH9Cz0tuDiY8C3ctxq1tqvaCgkFb8cCA/edit?usp=sharing"",""นครราชสีมา!J510"")"),323)</f>
        <v>323</v>
      </c>
      <c r="K615" s="163">
        <f t="shared" ca="1" si="127"/>
        <v>64.599999999999994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IFERROR(__xludf.DUMMYFUNCTION("IMPORTRANGE(""https://docs.google.com/spreadsheets/d/1XL5vhW3sbDhbH9Cz0tuDiY8C3ctxq1tqvaCgkFb8cCA/edit?usp=sharing"",""นครราชสีมา!J523"")"),8443000)</f>
        <v>8443000</v>
      </c>
      <c r="K628" s="343">
        <f t="shared" ref="K628:K635" ca="1" si="129">IF(I628&gt;0,J628*100/I628,0)</f>
        <v>56.286666666666669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IFERROR(__xludf.DUMMYFUNCTION("IMPORTRANGE(""https://docs.google.com/spreadsheets/d/1XL5vhW3sbDhbH9Cz0tuDiY8C3ctxq1tqvaCgkFb8cCA/edit?usp=sharing"",""นครราชสีมา!J524"")"),218)</f>
        <v>218</v>
      </c>
      <c r="K629" s="343">
        <f t="shared" ca="1" si="129"/>
        <v>55.470737913486005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IFERROR(__xludf.DUMMYFUNCTION("IMPORTRANGE(""https://docs.google.com/spreadsheets/d/1XL5vhW3sbDhbH9Cz0tuDiY8C3ctxq1tqvaCgkFb8cCA/edit?usp=sharing"",""นครราชสีมา!J525"")"),1001875.63)</f>
        <v>1001875.63</v>
      </c>
      <c r="K630" s="343">
        <f t="shared" ca="1" si="129"/>
        <v>11.876421537120706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IFERROR(__xludf.DUMMYFUNCTION("IMPORTRANGE(""https://docs.google.com/spreadsheets/d/1XL5vhW3sbDhbH9Cz0tuDiY8C3ctxq1tqvaCgkFb8cCA/edit?usp=sharing"",""นครราชสีมา!J526"")"),121)</f>
        <v>121</v>
      </c>
      <c r="K631" s="343">
        <f t="shared" ca="1" si="129"/>
        <v>45.318352059925097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IFERROR(__xludf.DUMMYFUNCTION("IMPORTRANGE(""https://docs.google.com/spreadsheets/d/1XL5vhW3sbDhbH9Cz0tuDiY8C3ctxq1tqvaCgkFb8cCA/edit?usp=sharing"",""นครราชสีมา!J527"")"),292523.93)</f>
        <v>292523.93</v>
      </c>
      <c r="K632" s="343">
        <f t="shared" ca="1" si="129"/>
        <v>1472.3489317409442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IFERROR(__xludf.DUMMYFUNCTION("IMPORTRANGE(""https://docs.google.com/spreadsheets/d/1XL5vhW3sbDhbH9Cz0tuDiY8C3ctxq1tqvaCgkFb8cCA/edit?usp=sharing"",""นครราชสีมา!J528"")"),32)</f>
        <v>32</v>
      </c>
      <c r="K633" s="343">
        <f t="shared" ca="1" si="129"/>
        <v>30.476190476190474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2">
        <f ca="1">IFERROR(__xludf.DUMMYFUNCTION("IMPORTRANGE(""https://docs.google.com/spreadsheets/d/1XL5vhW3sbDhbH9Cz0tuDiY8C3ctxq1tqvaCgkFb8cCA/edit?usp=sharing"",""นครราชสีมา!J529"")"),4968000)</f>
        <v>4968000</v>
      </c>
      <c r="K634" s="343">
        <f t="shared" ca="1" si="129"/>
        <v>99.36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IFERROR(__xludf.DUMMYFUNCTION("IMPORTRANGE(""https://docs.google.com/spreadsheets/d/1XL5vhW3sbDhbH9Cz0tuDiY8C3ctxq1tqvaCgkFb8cCA/edit?usp=sharing"",""นครราชสีมา!J530"")"),129)</f>
        <v>129</v>
      </c>
      <c r="K635" s="486">
        <f t="shared" ca="1" si="129"/>
        <v>103.2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1560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1560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1560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IFERROR(__xludf.DUMMYFUNCTION("IMPORTRANGE(""https://docs.google.com/spreadsheets/d/1XL5vhW3sbDhbH9Cz0tuDiY8C3ctxq1tqvaCgkFb8cCA/edit#gid=346597447"",""นครราชสีมา!J541"")"),0)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IFERROR(__xludf.DUMMYFUNCTION("IMPORTRANGE(""https://docs.google.com/spreadsheets/d/1XL5vhW3sbDhbH9Cz0tuDiY8C3ctxq1tqvaCgkFb8cCA/edit#gid=346597447"",""นครราชสีมา!J542"")"),0)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IFERROR(__xludf.DUMMYFUNCTION("IMPORTRANGE(""https://docs.google.com/spreadsheets/d/1XL5vhW3sbDhbH9Cz0tuDiY8C3ctxq1tqvaCgkFb8cCA/edit#gid=346597447"",""นครราชสีมา!I543"")"),0)</f>
        <v>0</v>
      </c>
      <c r="J648" s="585">
        <f ca="1">IFERROR(__xludf.DUMMYFUNCTION("IMPORTRANGE(""https://docs.google.com/spreadsheets/d/1XL5vhW3sbDhbH9Cz0tuDiY8C3ctxq1tqvaCgkFb8cCA/edit#gid=346597447"",""นครราชสีมา!J543"")"),0)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IFERROR(__xludf.DUMMYFUNCTION("IMPORTRANGE(""https://docs.google.com/spreadsheets/d/1XL5vhW3sbDhbH9Cz0tuDiY8C3ctxq1tqvaCgkFb8cCA/edit#gid=346597447"",""นครราชสีมา!L543"")"),0)</f>
        <v>0</v>
      </c>
      <c r="M648" s="570"/>
      <c r="N648" s="587">
        <f ca="1">IFERROR(__xludf.DUMMYFUNCTION("IMPORTRANGE(""https://docs.google.com/spreadsheets/d/1XL5vhW3sbDhbH9Cz0tuDiY8C3ctxq1tqvaCgkFb8cCA/edit#gid=346597447"",""นครราชสีมา!M543"")"),0)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IFERROR(__xludf.DUMMYFUNCTION("IMPORTRANGE(""https://docs.google.com/spreadsheets/d/1XL5vhW3sbDhbH9Cz0tuDiY8C3ctxq1tqvaCgkFb8cCA/edit#gid=346597447"",""นครราชสีมา!I544"")"),4)</f>
        <v>4</v>
      </c>
      <c r="J649" s="585">
        <f ca="1">IFERROR(__xludf.DUMMYFUNCTION("IMPORTRANGE(""https://docs.google.com/spreadsheets/d/1XL5vhW3sbDhbH9Cz0tuDiY8C3ctxq1tqvaCgkFb8cCA/edit#gid=346597447"",""นครราชสีมา!J544"")"),0)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IFERROR(__xludf.DUMMYFUNCTION("IMPORTRANGE(""https://docs.google.com/spreadsheets/d/1XL5vhW3sbDhbH9Cz0tuDiY8C3ctxq1tqvaCgkFb8cCA/edit#gid=346597447"",""นครราชสีมา!L544"")"),480)</f>
        <v>480</v>
      </c>
      <c r="M649" s="570"/>
      <c r="N649" s="587">
        <f ca="1">IFERROR(__xludf.DUMMYFUNCTION("IMPORTRANGE(""https://docs.google.com/spreadsheets/d/1XL5vhW3sbDhbH9Cz0tuDiY8C3ctxq1tqvaCgkFb8cCA/edit#gid=346597447"",""นครราชสีมา!M544"")"),0)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IFERROR(__xludf.DUMMYFUNCTION("IMPORTRANGE(""https://docs.google.com/spreadsheets/d/1XL5vhW3sbDhbH9Cz0tuDiY8C3ctxq1tqvaCgkFb8cCA/edit#gid=346597447"",""นครราชสีมา!I545"")"),0)</f>
        <v>0</v>
      </c>
      <c r="J650" s="585">
        <f ca="1">IFERROR(__xludf.DUMMYFUNCTION("IMPORTRANGE(""https://docs.google.com/spreadsheets/d/1XL5vhW3sbDhbH9Cz0tuDiY8C3ctxq1tqvaCgkFb8cCA/edit#gid=346597447"",""นครราชสีมา!J545"")"),0)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IFERROR(__xludf.DUMMYFUNCTION("IMPORTRANGE(""https://docs.google.com/spreadsheets/d/1XL5vhW3sbDhbH9Cz0tuDiY8C3ctxq1tqvaCgkFb8cCA/edit#gid=346597447"",""นครราชสีมา!L545"")"),0)</f>
        <v>0</v>
      </c>
      <c r="M650" s="570"/>
      <c r="N650" s="587">
        <f ca="1">IFERROR(__xludf.DUMMYFUNCTION("IMPORTRANGE(""https://docs.google.com/spreadsheets/d/1XL5vhW3sbDhbH9Cz0tuDiY8C3ctxq1tqvaCgkFb8cCA/edit#gid=346597447"",""นครราชสีมา!M545"")"),0)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IFERROR(__xludf.DUMMYFUNCTION("IMPORTRANGE(""https://docs.google.com/spreadsheets/d/1XL5vhW3sbDhbH9Cz0tuDiY8C3ctxq1tqvaCgkFb8cCA/edit#gid=346597447"",""นครราชสีมา!I546"")"),0)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IFERROR(__xludf.DUMMYFUNCTION("IMPORTRANGE(""https://docs.google.com/spreadsheets/d/1XL5vhW3sbDhbH9Cz0tuDiY8C3ctxq1tqvaCgkFb8cCA/edit#gid=346597447"",""นครราชสีมา!L546"")"),0)</f>
        <v>0</v>
      </c>
      <c r="M651" s="570"/>
      <c r="N651" s="587">
        <f ca="1">IFERROR(__xludf.DUMMYFUNCTION("IMPORTRANGE(""https://docs.google.com/spreadsheets/d/1XL5vhW3sbDhbH9Cz0tuDiY8C3ctxq1tqvaCgkFb8cCA/edit#gid=346597447"",""นครราชสีมา!M546"")"),0)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IFERROR(__xludf.DUMMYFUNCTION("IMPORTRANGE(""https://docs.google.com/spreadsheets/d/1XL5vhW3sbDhbH9Cz0tuDiY8C3ctxq1tqvaCgkFb8cCA/edit#gid=346597447"",""นครราชสีมา!J547"")"),0)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IFERROR(__xludf.DUMMYFUNCTION("IMPORTRANGE(""https://docs.google.com/spreadsheets/d/1XL5vhW3sbDhbH9Cz0tuDiY8C3ctxq1tqvaCgkFb8cCA/edit#gid=346597447"",""นครราชสีมา!J548"")"),0)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IFERROR(__xludf.DUMMYFUNCTION("IMPORTRANGE(""https://docs.google.com/spreadsheets/d/1XL5vhW3sbDhbH9Cz0tuDiY8C3ctxq1tqvaCgkFb8cCA/edit#gid=346597447"",""นครราชสีมา!J550"")"),0)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IFERROR(__xludf.DUMMYFUNCTION("IMPORTRANGE(""https://docs.google.com/spreadsheets/d/1XL5vhW3sbDhbH9Cz0tuDiY8C3ctxq1tqvaCgkFb8cCA/edit#gid=346597447"",""นครราชสีมา!J551"")"),0)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IFERROR(__xludf.DUMMYFUNCTION("IMPORTRANGE(""https://docs.google.com/spreadsheets/d/1XL5vhW3sbDhbH9Cz0tuDiY8C3ctxq1tqvaCgkFb8cCA/edit#gid=346597447"",""นครราชสีมา!J552"")"),0)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IFERROR(__xludf.DUMMYFUNCTION("IMPORTRANGE(""https://docs.google.com/spreadsheets/d/1XL5vhW3sbDhbH9Cz0tuDiY8C3ctxq1tqvaCgkFb8cCA/edit#gid=346597447"",""นครราชสีมา!J553"")"),0)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IFERROR(__xludf.DUMMYFUNCTION("IMPORTRANGE(""https://docs.google.com/spreadsheets/d/1XL5vhW3sbDhbH9Cz0tuDiY8C3ctxq1tqvaCgkFb8cCA/edit#gid=346597447"",""นครราชสีมา!J554"")"),0)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IFERROR(__xludf.DUMMYFUNCTION("IMPORTRANGE(""https://docs.google.com/spreadsheets/d/1XL5vhW3sbDhbH9Cz0tuDiY8C3ctxq1tqvaCgkFb8cCA/edit#gid=346597447"",""นครราชสีมา!J555"")"),0)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IFERROR(__xludf.DUMMYFUNCTION("IMPORTRANGE(""https://docs.google.com/spreadsheets/d/1XL5vhW3sbDhbH9Cz0tuDiY8C3ctxq1tqvaCgkFb8cCA/edit#gid=346597447"",""นครราชสีมา!J556"")"),0)</f>
        <v>0</v>
      </c>
      <c r="K661" s="586"/>
      <c r="L661" s="571">
        <f ca="1">IFERROR(__xludf.DUMMYFUNCTION("IMPORTRANGE(""https://docs.google.com/spreadsheets/d/1XL5vhW3sbDhbH9Cz0tuDiY8C3ctxq1tqvaCgkFb8cCA/edit#gid=346597447"",""นครราชสีมา!L556"")"),0)</f>
        <v>0</v>
      </c>
      <c r="M661" s="570"/>
      <c r="N661" s="587">
        <f ca="1">IFERROR(__xludf.DUMMYFUNCTION("IMPORTRANGE(""https://docs.google.com/spreadsheets/d/1XL5vhW3sbDhbH9Cz0tuDiY8C3ctxq1tqvaCgkFb8cCA/edit#gid=346597447"",""นครราชสีมา!M556"")"),0)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IFERROR(__xludf.DUMMYFUNCTION("IMPORTRANGE(""https://docs.google.com/spreadsheets/d/1XL5vhW3sbDhbH9Cz0tuDiY8C3ctxq1tqvaCgkFb8cCA/edit#gid=346597447"",""นครราชสีมา!J557"")"),0)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IFERROR(__xludf.DUMMYFUNCTION("IMPORTRANGE(""https://docs.google.com/spreadsheets/d/1XL5vhW3sbDhbH9Cz0tuDiY8C3ctxq1tqvaCgkFb8cCA/edit#gid=346597447"",""นครราชสีมา!I558"")"),0)</f>
        <v>0</v>
      </c>
      <c r="J663" s="585">
        <f ca="1">IFERROR(__xludf.DUMMYFUNCTION("IMPORTRANGE(""https://docs.google.com/spreadsheets/d/1XL5vhW3sbDhbH9Cz0tuDiY8C3ctxq1tqvaCgkFb8cCA/edit#gid=346597447"",""นครราชสีมา!J558"")"),0)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IFERROR(__xludf.DUMMYFUNCTION("IMPORTRANGE(""https://docs.google.com/spreadsheets/d/1XL5vhW3sbDhbH9Cz0tuDiY8C3ctxq1tqvaCgkFb8cCA/edit#gid=346597447"",""นครราชสีมา!I560"")"),9)</f>
        <v>9</v>
      </c>
      <c r="J665" s="585">
        <f ca="1">IFERROR(__xludf.DUMMYFUNCTION("IMPORTRANGE(""https://docs.google.com/spreadsheets/d/1XL5vhW3sbDhbH9Cz0tuDiY8C3ctxq1tqvaCgkFb8cCA/edit#gid=346597447"",""นครราชสีมา!J560"")"),0)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IFERROR(__xludf.DUMMYFUNCTION("IMPORTRANGE(""https://docs.google.com/spreadsheets/d/1XL5vhW3sbDhbH9Cz0tuDiY8C3ctxq1tqvaCgkFb8cCA/edit#gid=346597447"",""นครราชสีมา!L560"")"),1080)</f>
        <v>1080</v>
      </c>
      <c r="M665" s="570"/>
      <c r="N665" s="587">
        <f ca="1">IFERROR(__xludf.DUMMYFUNCTION("IMPORTRANGE(""https://docs.google.com/spreadsheets/d/1XL5vhW3sbDhbH9Cz0tuDiY8C3ctxq1tqvaCgkFb8cCA/edit#gid=346597447"",""นครราชสีมา!M560"")"),0)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IFERROR(__xludf.DUMMYFUNCTION("IMPORTRANGE(""https://docs.google.com/spreadsheets/d/1XL5vhW3sbDhbH9Cz0tuDiY8C3ctxq1tqvaCgkFb8cCA/edit#gid=346597447"",""นครราชสีมา!J561"")"),0)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IFERROR(__xludf.DUMMYFUNCTION("IMPORTRANGE(""https://docs.google.com/spreadsheets/d/1XL5vhW3sbDhbH9Cz0tuDiY8C3ctxq1tqvaCgkFb8cCA/edit#gid=346597447"",""นครราชสีมา!J562"")"),0)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IFERROR(__xludf.DUMMYFUNCTION("IMPORTRANGE(""https://docs.google.com/spreadsheets/d/1XL5vhW3sbDhbH9Cz0tuDiY8C3ctxq1tqvaCgkFb8cCA/edit#gid=346597447"",""นครราชสีมา!I563"")"),0)</f>
        <v>0</v>
      </c>
      <c r="J668" s="585">
        <f ca="1">IFERROR(__xludf.DUMMYFUNCTION("IMPORTRANGE(""https://docs.google.com/spreadsheets/d/1XL5vhW3sbDhbH9Cz0tuDiY8C3ctxq1tqvaCgkFb8cCA/edit#gid=346597447"",""นครราชสีมา!J563"")"),0)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IFERROR(__xludf.DUMMYFUNCTION("IMPORTRANGE(""https://docs.google.com/spreadsheets/d/1XL5vhW3sbDhbH9Cz0tuDiY8C3ctxq1tqvaCgkFb8cCA/edit#gid=346597447"",""นครราชสีมา!L563"")"),0)</f>
        <v>0</v>
      </c>
      <c r="M668" s="570"/>
      <c r="N668" s="587">
        <f ca="1">IFERROR(__xludf.DUMMYFUNCTION("IMPORTRANGE(""https://docs.google.com/spreadsheets/d/1XL5vhW3sbDhbH9Cz0tuDiY8C3ctxq1tqvaCgkFb8cCA/edit#gid=346597447"",""นครราชสีมา!M563"")"),0)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IFERROR(__xludf.DUMMYFUNCTION("IMPORTRANGE(""https://docs.google.com/spreadsheets/d/1XL5vhW3sbDhbH9Cz0tuDiY8C3ctxq1tqvaCgkFb8cCA/edit#gid=346597447"",""นครราชสีมา!J564"")"),0)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IFERROR(__xludf.DUMMYFUNCTION("IMPORTRANGE(""https://docs.google.com/spreadsheets/d/1XL5vhW3sbDhbH9Cz0tuDiY8C3ctxq1tqvaCgkFb8cCA/edit#gid=346597447"",""นครราชสีมา!J565"")"),0)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IFERROR(__xludf.DUMMYFUNCTION("IMPORTRANGE(""https://docs.google.com/spreadsheets/d/1XL5vhW3sbDhbH9Cz0tuDiY8C3ctxq1tqvaCgkFb8cCA/edit#gid=346597447"",""นครราชสีมา!I566"")"),0)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IFERROR(__xludf.DUMMYFUNCTION("IMPORTRANGE(""https://docs.google.com/spreadsheets/d/1XL5vhW3sbDhbH9Cz0tuDiY8C3ctxq1tqvaCgkFb8cCA/edit#gid=346597447"",""นครราชสีมา!L566"")"),0)</f>
        <v>0</v>
      </c>
      <c r="M671" s="570"/>
      <c r="N671" s="587">
        <f ca="1">IFERROR(__xludf.DUMMYFUNCTION("IMPORTRANGE(""https://docs.google.com/spreadsheets/d/1XL5vhW3sbDhbH9Cz0tuDiY8C3ctxq1tqvaCgkFb8cCA/edit#gid=346597447"",""นครราชสีมา!M566"")"),0)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IFERROR(__xludf.DUMMYFUNCTION("IMPORTRANGE(""https://docs.google.com/spreadsheets/d/1XL5vhW3sbDhbH9Cz0tuDiY8C3ctxq1tqvaCgkFb8cCA/edit#gid=346597447"",""นครราชสีมา!J567"")"),0)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IFERROR(__xludf.DUMMYFUNCTION("IMPORTRANGE(""https://docs.google.com/spreadsheets/d/1XL5vhW3sbDhbH9Cz0tuDiY8C3ctxq1tqvaCgkFb8cCA/edit#gid=346597447"",""นครราชสีมา!J568"")"),0)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IFERROR(__xludf.DUMMYFUNCTION("IMPORTRANGE(""https://docs.google.com/spreadsheets/d/1XL5vhW3sbDhbH9Cz0tuDiY8C3ctxq1tqvaCgkFb8cCA/edit#gid=346597447"",""นครราชสีมา!J569"")"),0)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IFERROR(__xludf.DUMMYFUNCTION("IMPORTRANGE(""https://docs.google.com/spreadsheets/d/1XL5vhW3sbDhbH9Cz0tuDiY8C3ctxq1tqvaCgkFb8cCA/edit#gid=346597447"",""นครราชสีมา!J570"")"),0)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IFERROR(__xludf.DUMMYFUNCTION("IMPORTRANGE(""https://docs.google.com/spreadsheets/d/1XL5vhW3sbDhbH9Cz0tuDiY8C3ctxq1tqvaCgkFb8cCA/edit#gid=346597447"",""นครราชสีมา!J571"")"),0)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IFERROR(__xludf.DUMMYFUNCTION("IMPORTRANGE(""https://docs.google.com/spreadsheets/d/1XL5vhW3sbDhbH9Cz0tuDiY8C3ctxq1tqvaCgkFb8cCA/edit#gid=346597447"",""นครราชสีมา!J572"")"),0)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0">
    <mergeCell ref="D278:E278"/>
    <mergeCell ref="D250:G250"/>
    <mergeCell ref="D253:F253"/>
    <mergeCell ref="D257:E257"/>
    <mergeCell ref="D271:G271"/>
    <mergeCell ref="D274:F274"/>
    <mergeCell ref="D140:G140"/>
    <mergeCell ref="D143:F143"/>
    <mergeCell ref="D147:E147"/>
    <mergeCell ref="D220:G220"/>
    <mergeCell ref="D227:E22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270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7597554</v>
      </c>
      <c r="M8" s="23">
        <f t="shared" ca="1" si="0"/>
        <v>4103400</v>
      </c>
      <c r="N8" s="23">
        <f t="shared" ca="1" si="0"/>
        <v>4692934.8100000005</v>
      </c>
      <c r="O8" s="22">
        <f t="shared" ref="O8:O16" ca="1" si="1">IF(L8&gt;0,N8*100/L8,0)</f>
        <v>61.769022108957707</v>
      </c>
      <c r="P8" s="22">
        <f t="shared" ref="P8:P16" ca="1" si="2">IF(M8&gt;0,N8*100/M8,0)</f>
        <v>114.3669837208169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7597554</v>
      </c>
      <c r="M10" s="30">
        <f t="shared" ca="1" si="4"/>
        <v>4103400</v>
      </c>
      <c r="N10" s="30">
        <f t="shared" ca="1" si="4"/>
        <v>4692934.8100000005</v>
      </c>
      <c r="O10" s="29">
        <f t="shared" ca="1" si="1"/>
        <v>61.769022108957707</v>
      </c>
      <c r="P10" s="29">
        <f t="shared" ca="1" si="2"/>
        <v>114.3669837208169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6434055</v>
      </c>
      <c r="M12" s="38">
        <f t="shared" ca="1" si="6"/>
        <v>2939901</v>
      </c>
      <c r="N12" s="38">
        <f t="shared" ca="1" si="6"/>
        <v>3529435.81</v>
      </c>
      <c r="O12" s="38">
        <f t="shared" ca="1" si="1"/>
        <v>54.855543044005685</v>
      </c>
      <c r="P12" s="38">
        <f t="shared" ca="1" si="2"/>
        <v>120.05287967179848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4132655</v>
      </c>
      <c r="M14" s="38">
        <f t="shared" si="8"/>
        <v>0</v>
      </c>
      <c r="N14" s="38">
        <f t="shared" ca="1" si="8"/>
        <v>1128881</v>
      </c>
      <c r="O14" s="38">
        <f t="shared" ca="1" si="1"/>
        <v>27.316120024536286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1163499</v>
      </c>
      <c r="M16" s="38">
        <f t="shared" ca="1" si="10"/>
        <v>1163499</v>
      </c>
      <c r="N16" s="38">
        <f t="shared" ca="1" si="10"/>
        <v>1163499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4827709</v>
      </c>
      <c r="M18" s="23">
        <f t="shared" ca="1" si="11"/>
        <v>4103400</v>
      </c>
      <c r="N18" s="23">
        <f t="shared" ca="1" si="11"/>
        <v>3564053.81</v>
      </c>
      <c r="O18" s="22">
        <f t="shared" ref="O18:O20" ca="1" si="12">IF(L18&gt;0,N18*100/L18,0)</f>
        <v>73.824951131064438</v>
      </c>
      <c r="P18" s="22">
        <f t="shared" ref="P18:P26" ca="1" si="13">IF(M18&gt;0,N18*100/M18,0)</f>
        <v>86.856114685382849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4827709</v>
      </c>
      <c r="M20" s="30">
        <f t="shared" ca="1" si="15"/>
        <v>4103400</v>
      </c>
      <c r="N20" s="30">
        <f t="shared" ca="1" si="15"/>
        <v>3564053.81</v>
      </c>
      <c r="O20" s="29">
        <f t="shared" ca="1" si="12"/>
        <v>73.824951131064438</v>
      </c>
      <c r="P20" s="29">
        <f t="shared" ca="1" si="13"/>
        <v>86.856114685382849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3664210</v>
      </c>
      <c r="M22" s="41">
        <f t="shared" ca="1" si="18"/>
        <v>2939901</v>
      </c>
      <c r="N22" s="38">
        <f t="shared" ca="1" si="18"/>
        <v>2400554.81</v>
      </c>
      <c r="O22" s="38">
        <f t="shared" ca="1" si="17"/>
        <v>65.513570728751901</v>
      </c>
      <c r="P22" s="38">
        <f t="shared" ca="1" si="13"/>
        <v>81.654273732346766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1362810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1163499</v>
      </c>
      <c r="M26" s="49">
        <f t="shared" ca="1" si="22"/>
        <v>1163499</v>
      </c>
      <c r="N26" s="49">
        <f t="shared" ca="1" si="22"/>
        <v>1163499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2769845</v>
      </c>
      <c r="M28" s="23">
        <f t="shared" si="23"/>
        <v>0</v>
      </c>
      <c r="N28" s="23">
        <f t="shared" ca="1" si="23"/>
        <v>1128881</v>
      </c>
      <c r="O28" s="22">
        <f t="shared" ref="O28:O30" ca="1" si="24">IF(L28&gt;0,N28*100/L28,0)</f>
        <v>40.756107291202213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2769845</v>
      </c>
      <c r="M30" s="30">
        <f t="shared" si="27"/>
        <v>0</v>
      </c>
      <c r="N30" s="30">
        <f t="shared" ca="1" si="27"/>
        <v>1128881</v>
      </c>
      <c r="O30" s="29">
        <f t="shared" ca="1" si="24"/>
        <v>40.756107291202213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2769845</v>
      </c>
      <c r="M32" s="38">
        <f t="shared" si="30"/>
        <v>0</v>
      </c>
      <c r="N32" s="38">
        <f t="shared" ca="1" si="30"/>
        <v>1128881</v>
      </c>
      <c r="O32" s="38">
        <f t="shared" ca="1" si="29"/>
        <v>40.756107291202213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2769845</v>
      </c>
      <c r="M34" s="38">
        <f t="shared" si="32"/>
        <v>0</v>
      </c>
      <c r="N34" s="38">
        <f t="shared" ca="1" si="32"/>
        <v>1128881</v>
      </c>
      <c r="O34" s="38">
        <f t="shared" ca="1" si="29"/>
        <v>40.756107291202213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4827709</v>
      </c>
      <c r="M37" s="54">
        <f t="shared" ca="1" si="33"/>
        <v>4103400</v>
      </c>
      <c r="N37" s="54">
        <f t="shared" ca="1" si="33"/>
        <v>3564053.8100000005</v>
      </c>
      <c r="O37" s="55">
        <f t="shared" ca="1" si="29"/>
        <v>73.824951131064452</v>
      </c>
      <c r="P37" s="55">
        <f t="shared" ca="1" si="25"/>
        <v>86.856114685382863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2008099</v>
      </c>
      <c r="M41" s="78">
        <f t="shared" ca="1" si="34"/>
        <v>1739999</v>
      </c>
      <c r="N41" s="78">
        <f t="shared" ca="1" si="34"/>
        <v>1619760.99</v>
      </c>
      <c r="O41" s="77">
        <f t="shared" ref="O41:O43" ca="1" si="35">IF(L41&gt;0,N41*100/L41,0)</f>
        <v>80.661411115687031</v>
      </c>
      <c r="P41" s="77">
        <f t="shared" ref="P41:P43" ca="1" si="36">IF(M41&gt;0,N41*100/M41,0)</f>
        <v>93.089765568830785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2008099</v>
      </c>
      <c r="M43" s="78">
        <f t="shared" ca="1" si="38"/>
        <v>1739999</v>
      </c>
      <c r="N43" s="78">
        <f t="shared" ca="1" si="38"/>
        <v>1619760.99</v>
      </c>
      <c r="O43" s="77">
        <f t="shared" ca="1" si="35"/>
        <v>80.661411115687031</v>
      </c>
      <c r="P43" s="77">
        <f t="shared" ca="1" si="36"/>
        <v>93.089765568830785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622">
        <f ca="1">IFERROR(__xludf.DUMMYFUNCTION("IMPORTRANGE(""https://docs.google.com/spreadsheets/d/1Yj_ptqi66GCucihVvJfMjLAmec39IyEx_6qawtMGysU/edit?usp=sharing"",""สบก!Q43"")"),761000)</f>
        <v>761000</v>
      </c>
      <c r="N45" s="622">
        <f ca="1">IFERROR(__xludf.DUMMYFUNCTION("IMPORTRANGE(""https://docs.google.com/spreadsheets/d/1Yj_ptqi66GCucihVvJfMjLAmec39IyEx_6qawtMGysU/edit?usp=sharing"",""สบก!R43"")"),640761.99)</f>
        <v>640761.99</v>
      </c>
      <c r="O45" s="623">
        <f ca="1">IF(L45&gt;0,N45*100/L45,0)</f>
        <v>62.264307647458942</v>
      </c>
      <c r="P45" s="623">
        <f ca="1">IF(M45&gt;0,N45*100/M45,0)</f>
        <v>84.199998685939548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IFERROR(__xludf.DUMMYFUNCTION("IMPORTRANGE(""https://docs.google.com/spreadsheets/d/1Yj_ptqi66GCucihVvJfMjLAmec39IyEx_6qawtMGysU/edit?usp=sharing"",""สบก!M43"")"),1029100)</f>
        <v>1029100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IFERROR(__xludf.DUMMYFUNCTION("IMPORTRANGE(""https://docs.google.com/spreadsheets/d/1Yj_ptqi66GCucihVvJfMjLAmec39IyEx_6qawtMGysU/edit?usp=sharing"",""สบก!N43"")"),0)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IFERROR(__xludf.DUMMYFUNCTION("IMPORTRANGE(""https://docs.google.com/spreadsheets/d/1Yj_ptqi66GCucihVvJfMjLAmec39IyEx_6qawtMGysU/edit?usp=sharing"",""สบก!O43"")"),978999)</f>
        <v>978999</v>
      </c>
      <c r="M49" s="625">
        <f ca="1">L49</f>
        <v>978999</v>
      </c>
      <c r="N49" s="622">
        <f ca="1">IFERROR(__xludf.DUMMYFUNCTION("IMPORTRANGE(""https://docs.google.com/spreadsheets/d/1Yj_ptqi66GCucihVvJfMjLAmec39IyEx_6qawtMGysU/edit?usp=sharing"",""สบก!S43"")"),978999)</f>
        <v>978999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578511</v>
      </c>
      <c r="N53" s="121">
        <f t="shared" ca="1" si="39"/>
        <v>444734</v>
      </c>
      <c r="O53" s="120">
        <f t="shared" ref="O53:O55" ca="1" si="40">IF(L53&gt;0,N53*100/L53,0)</f>
        <v>58.364041994750657</v>
      </c>
      <c r="P53" s="120">
        <f t="shared" ref="P53:P55" ca="1" si="41">IF(M53&gt;0,N53*100/M53,0)</f>
        <v>76.875634171173928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578511</v>
      </c>
      <c r="N55" s="121">
        <f t="shared" ca="1" si="43"/>
        <v>444734</v>
      </c>
      <c r="O55" s="120">
        <f t="shared" ca="1" si="40"/>
        <v>58.364041994750657</v>
      </c>
      <c r="P55" s="120">
        <f t="shared" ca="1" si="41"/>
        <v>76.875634171173928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622">
        <f ca="1">IFERROR(__xludf.DUMMYFUNCTION("IMPORTRANGE(""https://docs.google.com/spreadsheets/d/1Yj_ptqi66GCucihVvJfMjLAmec39IyEx_6qawtMGysU/edit?usp=sharing"",""สบก!Z43"")"),578511)</f>
        <v>578511</v>
      </c>
      <c r="N57" s="622">
        <f ca="1">IFERROR(__xludf.DUMMYFUNCTION("IMPORTRANGE(""https://docs.google.com/spreadsheets/d/1Yj_ptqi66GCucihVvJfMjLAmec39IyEx_6qawtMGysU/edit?usp=sharing"",""สบก!AA43"")"),444734)</f>
        <v>444734</v>
      </c>
      <c r="O57" s="623">
        <f ca="1">IF(L57&gt;0,N57*100/L57,0)</f>
        <v>58.364041994750657</v>
      </c>
      <c r="P57" s="623">
        <f ca="1">IF(M57&gt;0,N57*100/M57,0)</f>
        <v>76.875634171173928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IFERROR(__xludf.DUMMYFUNCTION("IMPORTRANGE(""https://docs.google.com/spreadsheets/d/1Yj_ptqi66GCucihVvJfMjLAmec39IyEx_6qawtMGysU/edit?usp=sharing"",""สบก!V43"")"),762000)</f>
        <v>762000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IFERROR(__xludf.DUMMYFUNCTION("IMPORTRANGE(""https://docs.google.com/spreadsheets/d/1Yj_ptqi66GCucihVvJfMjLAmec39IyEx_6qawtMGysU/edit?usp=sharing"",""สบก!W43"")"),0)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IFERROR(__xludf.DUMMYFUNCTION("IMPORTRANGE(""https://docs.google.com/spreadsheets/d/1Yj_ptqi66GCucihVvJfMjLAmec39IyEx_6qawtMGysU/edit?usp=sharing"",""สบก!X43"")"),0)</f>
        <v>0</v>
      </c>
      <c r="M61" s="625"/>
      <c r="N61" s="622">
        <f ca="1">IFERROR(__xludf.DUMMYFUNCTION("IMPORTRANGE(""https://docs.google.com/spreadsheets/d/1Yj_ptqi66GCucihVvJfMjLAmec39IyEx_6qawtMGysU/edit?usp=sharing"",""สบก!AB43"")"),0)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6">
        <f ca="1">IFERROR(__xludf.DUMMYFUNCTION("IMPORTRANGE(""https://docs.google.com/spreadsheets/d/1Yj_ptqi66GCucihVvJfMjLAmec39IyEx_6qawtMGysU/edit?usp=sharing"",""สบก!AI43"")"),0)</f>
        <v>0</v>
      </c>
      <c r="N70" s="627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IFERROR(__xludf.DUMMYFUNCTION("IMPORTRANGE(""https://docs.google.com/spreadsheets/d/1Yj_ptqi66GCucihVvJfMjLAmec39IyEx_6qawtMGysU/edit?usp=sharing"",""สบก!AG43"")"),0)</f>
        <v>0</v>
      </c>
      <c r="M74" s="625"/>
      <c r="N74" s="622">
        <f ca="1">IFERROR(__xludf.DUMMYFUNCTION("IMPORTRANGE(""https://docs.google.com/spreadsheets/d/1Yj_ptqi66GCucihVvJfMjLAmec39IyEx_6qawtMGysU/edit?usp=sharing"",""สบก!AK43"")"),0)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157590</v>
      </c>
      <c r="O94" s="151">
        <f t="shared" ref="O94:O96" ca="1" si="53">IF(L94&gt;0,N94*100/L94,0)</f>
        <v>73.468531468531467</v>
      </c>
      <c r="P94" s="151">
        <f t="shared" ref="P94:P96" ca="1" si="54">IF(M94&gt;0,N94*100/M94,0)</f>
        <v>81.041886297600982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157590</v>
      </c>
      <c r="O96" s="156">
        <f t="shared" ca="1" si="53"/>
        <v>73.468531468531467</v>
      </c>
      <c r="P96" s="156">
        <f t="shared" ca="1" si="54"/>
        <v>81.041886297600982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IFERROR(__xludf.DUMMYFUNCTION("IMPORTRANGE(""https://docs.google.com/spreadsheets/d/1Yj_ptqi66GCucihVvJfMjLAmec39IyEx_6qawtMGysU/edit?usp=sharing"",""สบก!AR43"")"),102055)</f>
        <v>102055</v>
      </c>
      <c r="N98" s="627">
        <f ca="1">IFERROR(__xludf.DUMMYFUNCTION("IMPORTRANGE(""https://docs.google.com/spreadsheets/d/1Yj_ptqi66GCucihVvJfMjLAmec39IyEx_6qawtMGysU/edit?usp=sharing"",""สบก!AS43"")"),65190)</f>
        <v>65190</v>
      </c>
      <c r="O98" s="169">
        <f ca="1">IF(L98&gt;0,N98*100/L98,0)</f>
        <v>53.390663390663391</v>
      </c>
      <c r="P98" s="169">
        <f ca="1">IF(M98&gt;0,N98*100/M98,0)</f>
        <v>63.877321052373723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IFERROR(__xludf.DUMMYFUNCTION("IMPORTRANGE(""https://docs.google.com/spreadsheets/d/1Yj_ptqi66GCucihVvJfMjLAmec39IyEx_6qawtMGysU/edit?usp=sharing"",""สบก!AP43"")"),92400)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IFERROR(__xludf.DUMMYFUNCTION("IMPORTRANGE(""https://docs.google.com/spreadsheets/d/1Yj_ptqi66GCucihVvJfMjLAmec39IyEx_6qawtMGysU/edit?usp=sharing"",""สบก!AT43"")"),92400)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IFERROR(__xludf.DUMMYFUNCTION("IMPORTRANGE(""https://docs.google.com/spreadsheets/d/1Yj_ptqi66GCucihVvJfMjLAmec39IyEx_6qawtMGysU/edit?usp=sharing"",""สบก!BA43"")"),0)</f>
        <v>0</v>
      </c>
      <c r="N122" s="627">
        <f ca="1">IFERROR(__xludf.DUMMYFUNCTION("IMPORTRANGE(""https://docs.google.com/spreadsheets/d/1Yj_ptqi66GCucihVvJfMjLAmec39IyEx_6qawtMGysU/edit?usp=sharing"",""สบก!BB43"")"),0)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IFERROR(__xludf.DUMMYFUNCTION("IMPORTRANGE(""https://docs.google.com/spreadsheets/d/1Yj_ptqi66GCucihVvJfMjLAmec39IyEx_6qawtMGysU/edit?usp=sharing"",""สบก!AY43"")"),0)</f>
        <v>0</v>
      </c>
      <c r="M126" s="625"/>
      <c r="N126" s="622">
        <f ca="1">IFERROR(__xludf.DUMMYFUNCTION("IMPORTRANGE(""https://docs.google.com/spreadsheets/d/1Yj_ptqi66GCucihVvJfMjLAmec39IyEx_6qawtMGysU/edit?usp=sharing"",""สบก!BC43"")"),0)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173625</v>
      </c>
      <c r="N140" s="152">
        <f t="shared" ca="1" si="64"/>
        <v>124130</v>
      </c>
      <c r="O140" s="151">
        <f t="shared" ref="O140:O142" ca="1" si="65">IF(L140&gt;0,N140*100/L140,0)</f>
        <v>70.328611898017002</v>
      </c>
      <c r="P140" s="151">
        <f t="shared" ref="P140:P142" ca="1" si="66">IF(M140&gt;0,N140*100/M140,0)</f>
        <v>71.493160547156222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173625</v>
      </c>
      <c r="N142" s="157">
        <f t="shared" ca="1" si="68"/>
        <v>124130</v>
      </c>
      <c r="O142" s="156">
        <f t="shared" ca="1" si="65"/>
        <v>70.328611898017002</v>
      </c>
      <c r="P142" s="156">
        <f t="shared" ca="1" si="66"/>
        <v>71.493160547156222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6">
        <f ca="1">IFERROR(__xludf.DUMMYFUNCTION("IMPORTRANGE(""https://docs.google.com/spreadsheets/d/1Yj_ptqi66GCucihVvJfMjLAmec39IyEx_6qawtMGysU/edit?usp=sharing"",""สบก!BJ43"")"),173625)</f>
        <v>173625</v>
      </c>
      <c r="N144" s="627">
        <f ca="1">IFERROR(__xludf.DUMMYFUNCTION("IMPORTRANGE(""https://docs.google.com/spreadsheets/d/1Yj_ptqi66GCucihVvJfMjLAmec39IyEx_6qawtMGysU/edit?usp=sharing"",""สบก!BK43"")"),124130)</f>
        <v>124130</v>
      </c>
      <c r="O144" s="169">
        <f ca="1">IF(L144&gt;0,N144*100/L144,0)</f>
        <v>70.328611898017002</v>
      </c>
      <c r="P144" s="169">
        <f ca="1">IF(M144&gt;0,N144*100/M144,0)</f>
        <v>71.493160547156222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IFERROR(__xludf.DUMMYFUNCTION("IMPORTRANGE(""https://docs.google.com/spreadsheets/d/1Yj_ptqi66GCucihVvJfMjLAmec39IyEx_6qawtMGysU/edit?usp=sharing"",""สบก!BH43"")"),0)</f>
        <v>0</v>
      </c>
      <c r="M148" s="625"/>
      <c r="N148" s="622">
        <f ca="1">IFERROR(__xludf.DUMMYFUNCTION("IMPORTRANGE(""https://docs.google.com/spreadsheets/d/1Yj_ptqi66GCucihVvJfMjLAmec39IyEx_6qawtMGysU/edit?usp=sharing"",""สบก!BL43"")"),0)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20196</v>
      </c>
      <c r="O220" s="151">
        <f t="shared" ref="O220:O222" ca="1" si="73">IF(L220&gt;0,N220*100/L220,0)</f>
        <v>99.930727362691741</v>
      </c>
      <c r="P220" s="151">
        <f t="shared" ref="P220:P222" ca="1" si="74">IF(M220&gt;0,N220*100/M220,0)</f>
        <v>99.930727362691741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20196</v>
      </c>
      <c r="O222" s="156">
        <f t="shared" ca="1" si="73"/>
        <v>99.930727362691741</v>
      </c>
      <c r="P222" s="156">
        <f t="shared" ca="1" si="74"/>
        <v>99.930727362691741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IFERROR(__xludf.DUMMYFUNCTION("IMPORTRANGE(""https://docs.google.com/spreadsheets/d/1Yj_ptqi66GCucihVvJfMjLAmec39IyEx_6qawtMGysU/edit?usp=sharing"",""สบก!BS43"")"),20210)</f>
        <v>20210</v>
      </c>
      <c r="N224" s="627">
        <f ca="1">IFERROR(__xludf.DUMMYFUNCTION("IMPORTRANGE(""https://docs.google.com/spreadsheets/d/1Yj_ptqi66GCucihVvJfMjLAmec39IyEx_6qawtMGysU/edit?usp=sharing"",""สบก!BT43"")"),20196)</f>
        <v>20196</v>
      </c>
      <c r="O224" s="169">
        <f ca="1">IF(L224&gt;0,N224*100/L224,0)</f>
        <v>99.930727362691741</v>
      </c>
      <c r="P224" s="169">
        <f ca="1">IF(M224&gt;0,N224*100/M224,0)</f>
        <v>99.930727362691741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IFERROR(__xludf.DUMMYFUNCTION("IMPORTRANGE(""https://docs.google.com/spreadsheets/d/1Yj_ptqi66GCucihVvJfMjLAmec39IyEx_6qawtMGysU/edit?usp=sharing"",""สบก!BQ43"")"),0)</f>
        <v>0</v>
      </c>
      <c r="M228" s="625"/>
      <c r="N228" s="622">
        <f ca="1">IFERROR(__xludf.DUMMYFUNCTION("IMPORTRANGE(""https://docs.google.com/spreadsheets/d/1Yj_ptqi66GCucihVvJfMjLAmec39IyEx_6qawtMGysU/edit?usp=sharing"",""สบก!BU43"")"),0)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IFERROR(__xludf.DUMMYFUNCTION("IMPORTRANGE(""https://docs.google.com/spreadsheets/d/1Yj_ptqi66GCucihVvJfMjLAmec39IyEx_6qawtMGysU/edit?usp=sharing"",""สบก!CB43"")"),0)</f>
        <v>0</v>
      </c>
      <c r="N254" s="627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IFERROR(__xludf.DUMMYFUNCTION("IMPORTRANGE(""https://docs.google.com/spreadsheets/d/1Yj_ptqi66GCucihVvJfMjLAmec39IyEx_6qawtMGysU/edit?usp=sharing"",""สบก!BZ43"")"),0)</f>
        <v>0</v>
      </c>
      <c r="M258" s="625"/>
      <c r="N258" s="622">
        <f ca="1">IFERROR(__xludf.DUMMYFUNCTION("IMPORTRANGE(""https://docs.google.com/spreadsheets/d/1Yj_ptqi66GCucihVvJfMjLAmec39IyEx_6qawtMGysU/edit?usp=sharing"",""สบก!CD43"")"),0)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6">
        <f ca="1">IFERROR(__xludf.DUMMYFUNCTION("IMPORTRANGE(""https://docs.google.com/spreadsheets/d/1Yj_ptqi66GCucihVvJfMjLAmec39IyEx_6qawtMGysU/edit?usp=sharing"",""สบก!CK43"")"),0)</f>
        <v>0</v>
      </c>
      <c r="N275" s="627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IFERROR(__xludf.DUMMYFUNCTION("IMPORTRANGE(""https://docs.google.com/spreadsheets/d/1Yj_ptqi66GCucihVvJfMjLAmec39IyEx_6qawtMGysU/edit?usp=sharing"",""สบก!CI43"")"),0)</f>
        <v>0</v>
      </c>
      <c r="M279" s="625"/>
      <c r="N279" s="622">
        <f ca="1">IFERROR(__xludf.DUMMYFUNCTION("IMPORTRANGE(""https://docs.google.com/spreadsheets/d/1Yj_ptqi66GCucihVvJfMjLAmec39IyEx_6qawtMGysU/edit?usp=sharing"",""สบก!CM43"")"),0)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IFERROR(__xludf.DUMMYFUNCTION("IMPORTRANGE(""https://docs.google.com/spreadsheets/d/1Yj_ptqi66GCucihVvJfMjLAmec39IyEx_6qawtMGysU/edit?usp=sharing"",""สบก!CT43"")"),0)</f>
        <v>0</v>
      </c>
      <c r="N294" s="627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IFERROR(__xludf.DUMMYFUNCTION("IMPORTRANGE(""https://docs.google.com/spreadsheets/d/1Yj_ptqi66GCucihVvJfMjLAmec39IyEx_6qawtMGysU/edit?usp=sharing"",""สบก!CR43"")"),0)</f>
        <v>0</v>
      </c>
      <c r="M298" s="625"/>
      <c r="N298" s="622">
        <f ca="1">IFERROR(__xludf.DUMMYFUNCTION("IMPORTRANGE(""https://docs.google.com/spreadsheets/d/1Yj_ptqi66GCucihVvJfMjLAmec39IyEx_6qawtMGysU/edit?usp=sharing"",""สบก!CV43"")"),0)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IFERROR(__xludf.DUMMYFUNCTION("IMPORTRANGE(""https://docs.google.com/spreadsheets/d/1Yj_ptqi66GCucihVvJfMjLAmec39IyEx_6qawtMGysU/edit?usp=sharing"",""สบก!DC43"")"),0)</f>
        <v>0</v>
      </c>
      <c r="N314" s="627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IFERROR(__xludf.DUMMYFUNCTION("IMPORTRANGE(""https://docs.google.com/spreadsheets/d/1Yj_ptqi66GCucihVvJfMjLAmec39IyEx_6qawtMGysU/edit?usp=sharing"",""สบก!DA43"")"),0)</f>
        <v>0</v>
      </c>
      <c r="M318" s="625"/>
      <c r="N318" s="622">
        <f ca="1">IFERROR(__xludf.DUMMYFUNCTION("IMPORTRANGE(""https://docs.google.com/spreadsheets/d/1Yj_ptqi66GCucihVvJfMjLAmec39IyEx_6qawtMGysU/edit?usp=sharing"",""สบก!DE43"")"),0)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IFERROR(__xludf.DUMMYFUNCTION("IMPORTRANGE(""https://docs.google.com/spreadsheets/d/1XL5vhW3sbDhbH9Cz0tuDiY8C3ctxq1tqvaCgkFb8cCA/edit?usp=sharing"",""บึงกาฬ!J228"")"),406)</f>
        <v>406</v>
      </c>
      <c r="K328" s="318">
        <f ca="1">IF(I328&gt;0,J328*100/I328,0)</f>
        <v>58.840579710144929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1646400</v>
      </c>
      <c r="M329" s="152">
        <f t="shared" ca="1" si="98"/>
        <v>1396600</v>
      </c>
      <c r="N329" s="152">
        <f t="shared" ca="1" si="98"/>
        <v>1197642.82</v>
      </c>
      <c r="O329" s="151">
        <f t="shared" ref="O329:O331" ca="1" si="99">IF(L329&gt;0,N329*100/L329,0)</f>
        <v>72.743125607385807</v>
      </c>
      <c r="P329" s="151">
        <f t="shared" ref="P329:P331" ca="1" si="100">IF(M329&gt;0,N329*100/M329,0)</f>
        <v>85.754175855649436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1646400</v>
      </c>
      <c r="M331" s="157">
        <f t="shared" ca="1" si="102"/>
        <v>1396600</v>
      </c>
      <c r="N331" s="157">
        <f t="shared" ca="1" si="102"/>
        <v>1197642.82</v>
      </c>
      <c r="O331" s="156">
        <f t="shared" ca="1" si="99"/>
        <v>72.743125607385807</v>
      </c>
      <c r="P331" s="156">
        <f t="shared" ca="1" si="100"/>
        <v>85.754175855649436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6">
        <f ca="1">IFERROR(__xludf.DUMMYFUNCTION("IMPORTRANGE(""https://docs.google.com/spreadsheets/d/1Yj_ptqi66GCucihVvJfMjLAmec39IyEx_6qawtMGysU/edit?usp=sharing"",""สบก!DL43"")"),1304500)</f>
        <v>1304500</v>
      </c>
      <c r="N333" s="627">
        <f ca="1">IFERROR(__xludf.DUMMYFUNCTION("IMPORTRANGE(""https://docs.google.com/spreadsheets/d/1Yj_ptqi66GCucihVvJfMjLAmec39IyEx_6qawtMGysU/edit?usp=sharing"",""สบก!DM43"")"),1105542.82)</f>
        <v>1105542.82</v>
      </c>
      <c r="O333" s="169">
        <f ca="1">IF(L333&gt;0,N333*100/L333,0)</f>
        <v>71.128020330695492</v>
      </c>
      <c r="P333" s="169">
        <f ca="1">IF(M333&gt;0,N333*100/M333,0)</f>
        <v>84.748395553852049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IFERROR(__xludf.DUMMYFUNCTION("IMPORTRANGE(""https://docs.google.com/spreadsheets/d/1Yj_ptqi66GCucihVvJfMjLAmec39IyEx_6qawtMGysU/edit?usp=sharing"",""สบก!DJ43"")"),92100)</f>
        <v>92100</v>
      </c>
      <c r="M337" s="625">
        <f ca="1">L337</f>
        <v>92100</v>
      </c>
      <c r="N337" s="622">
        <f ca="1">IFERROR(__xludf.DUMMYFUNCTION("IMPORTRANGE(""https://docs.google.com/spreadsheets/d/1Yj_ptqi66GCucihVvJfMjLAmec39IyEx_6qawtMGysU/edit?usp=sharing"",""สบก!DN43"")"),92100)</f>
        <v>92100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IFERROR(__xludf.DUMMYFUNCTION("IMPORTRANGE(""https://docs.google.com/spreadsheets/d/1XL5vhW3sbDhbH9Cz0tuDiY8C3ctxq1tqvaCgkFb8cCA/edit?usp=sharing"",""บึงกาฬ!J234"")"),699)</f>
        <v>699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IFERROR(__xludf.DUMMYFUNCTION("IMPORTRANGE(""https://docs.google.com/spreadsheets/d/1XL5vhW3sbDhbH9Cz0tuDiY8C3ctxq1tqvaCgkFb8cCA/edit?usp=sharing"",""บึงกาฬ!J235"")"),7214.28)</f>
        <v>7214.28</v>
      </c>
      <c r="K340" s="343">
        <f t="shared" ca="1" si="103"/>
        <v>90.1785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IFERROR(__xludf.DUMMYFUNCTION("IMPORTRANGE(""https://docs.google.com/spreadsheets/d/1XL5vhW3sbDhbH9Cz0tuDiY8C3ctxq1tqvaCgkFb8cCA/edit?usp=sharing"",""บึงกาฬ!J236"")"),438)</f>
        <v>438</v>
      </c>
      <c r="K341" s="343">
        <f t="shared" ca="1" si="103"/>
        <v>63.478260869565219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IFERROR(__xludf.DUMMYFUNCTION("IMPORTRANGE(""https://docs.google.com/spreadsheets/d/1XL5vhW3sbDhbH9Cz0tuDiY8C3ctxq1tqvaCgkFb8cCA/edit?usp=sharing"",""บึงกาฬ!J237"")"),6509.69)</f>
        <v>6509.69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IFERROR(__xludf.DUMMYFUNCTION("IMPORTRANGE(""https://docs.google.com/spreadsheets/d/1XL5vhW3sbDhbH9Cz0tuDiY8C3ctxq1tqvaCgkFb8cCA/edit?usp=sharing"",""บึงกาฬ!J240"")"),406)</f>
        <v>406</v>
      </c>
      <c r="K345" s="343">
        <f t="shared" ca="1" si="103"/>
        <v>58.840579710144929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IFERROR(__xludf.DUMMYFUNCTION("IMPORTRANGE(""https://docs.google.com/spreadsheets/d/1XL5vhW3sbDhbH9Cz0tuDiY8C3ctxq1tqvaCgkFb8cCA/edit?usp=sharing"",""บึงกาฬ!J241"")"),6110.82)</f>
        <v>6110.82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IFERROR(__xludf.DUMMYFUNCTION("IMPORTRANGE(""https://docs.google.com/spreadsheets/d/1XL5vhW3sbDhbH9Cz0tuDiY8C3ctxq1tqvaCgkFb8cCA/edit?usp=sharing"",""บึงกาฬ!L242"")"),2769845)</f>
        <v>2769845</v>
      </c>
      <c r="M347" s="358"/>
      <c r="N347" s="358">
        <f ca="1">IFERROR(__xludf.DUMMYFUNCTION("IMPORTRANGE(""https://docs.google.com/spreadsheets/d/1XL5vhW3sbDhbH9Cz0tuDiY8C3ctxq1tqvaCgkFb8cCA/edit?usp=sharing"",""บึงกาฬ!M242"")"),1128881)</f>
        <v>1128881</v>
      </c>
      <c r="O347" s="358">
        <f ca="1">+IF(L347&gt;0,N347*100/L347,0)</f>
        <v>40.756107291202213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IFERROR(__xludf.DUMMYFUNCTION("IMPORTRANGE(""https://docs.google.com/spreadsheets/d/1XL5vhW3sbDhbH9Cz0tuDiY8C3ctxq1tqvaCgkFb8cCA/edit?usp=sharing"",""บึงกาฬ!M244"")"),156557)</f>
        <v>156557</v>
      </c>
      <c r="O349" s="373">
        <f ca="1">+IF(L349&gt;0,N349*100/L349,0)</f>
        <v>34.622716617276303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IFERROR(__xludf.DUMMYFUNCTION("IMPORTRANGE(""https://docs.google.com/spreadsheets/d/1XL5vhW3sbDhbH9Cz0tuDiY8C3ctxq1tqvaCgkFb8cCA/edit?usp=sharing"",""บึงกาฬ!M247"")"),156557)</f>
        <v>156557</v>
      </c>
      <c r="O352" s="165">
        <f t="shared" ca="1" si="105"/>
        <v>34.622716617276303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IFERROR(__xludf.DUMMYFUNCTION("IMPORTRANGE(""https://docs.google.com/spreadsheets/d/1XL5vhW3sbDhbH9Cz0tuDiY8C3ctxq1tqvaCgkFb8cCA/edit?usp=sharing"",""บึงกาฬ!M249"")"),156557)</f>
        <v>156557</v>
      </c>
      <c r="O354" s="169">
        <f t="shared" ca="1" si="105"/>
        <v>34.622716617276303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IFERROR(__xludf.DUMMYFUNCTION("IMPORTRANGE(""https://docs.google.com/spreadsheets/d/1XL5vhW3sbDhbH9Cz0tuDiY8C3ctxq1tqvaCgkFb8cCA/edit?usp=sharing"",""บึงกาฬ!M250"")"),51568)</f>
        <v>51568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IFERROR(__xludf.DUMMYFUNCTION("IMPORTRANGE(""https://docs.google.com/spreadsheets/d/1XL5vhW3sbDhbH9Cz0tuDiY8C3ctxq1tqvaCgkFb8cCA/edit?usp=sharing"",""บึงกาฬ!M252"")"),83940)</f>
        <v>83940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IFERROR(__xludf.DUMMYFUNCTION("IMPORTRANGE(""https://docs.google.com/spreadsheets/d/1XL5vhW3sbDhbH9Cz0tuDiY8C3ctxq1tqvaCgkFb8cCA/edit?usp=sharing"",""บึงกาฬ!M253"")"),21049)</f>
        <v>21049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IFERROR(__xludf.DUMMYFUNCTION("IMPORTRANGE(""https://docs.google.com/spreadsheets/d/1XL5vhW3sbDhbH9Cz0tuDiY8C3ctxq1tqvaCgkFb8cCA/edit?usp=sharing"",""บึงกาฬ!M275"")"),316795)</f>
        <v>316795</v>
      </c>
      <c r="O380" s="373">
        <f ca="1">+IF(L380&gt;0,N380*100/L380,0)</f>
        <v>30.80105394158597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IFERROR(__xludf.DUMMYFUNCTION("IMPORTRANGE(""https://docs.google.com/spreadsheets/d/1XL5vhW3sbDhbH9Cz0tuDiY8C3ctxq1tqvaCgkFb8cCA/edit?usp=sharing"",""บึงกาฬ!M278"")"),316795)</f>
        <v>316795</v>
      </c>
      <c r="O383" s="165">
        <f t="shared" ca="1" si="109"/>
        <v>30.80105394158597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IFERROR(__xludf.DUMMYFUNCTION("IMPORTRANGE(""https://docs.google.com/spreadsheets/d/1XL5vhW3sbDhbH9Cz0tuDiY8C3ctxq1tqvaCgkFb8cCA/edit?usp=sharing"",""บึงกาฬ!M280"")"),316795)</f>
        <v>316795</v>
      </c>
      <c r="O385" s="169">
        <f t="shared" ca="1" si="109"/>
        <v>30.80105394158597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IFERROR(__xludf.DUMMYFUNCTION("IMPORTRANGE(""https://docs.google.com/spreadsheets/d/1XL5vhW3sbDhbH9Cz0tuDiY8C3ctxq1tqvaCgkFb8cCA/edit?usp=sharing"",""บึงกาฬ!M283"")"),90070)</f>
        <v>90070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IFERROR(__xludf.DUMMYFUNCTION("IMPORTRANGE(""https://docs.google.com/spreadsheets/d/1XL5vhW3sbDhbH9Cz0tuDiY8C3ctxq1tqvaCgkFb8cCA/edit?usp=sharing"",""บึงกาฬ!M284"")"),28725)</f>
        <v>28725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IFERROR(__xludf.DUMMYFUNCTION("IMPORTRANGE(""https://docs.google.com/spreadsheets/d/1XL5vhW3sbDhbH9Cz0tuDiY8C3ctxq1tqvaCgkFb8cCA/edit?usp=sharing"",""บึงกาฬ!M296"")"),130019)</f>
        <v>130019</v>
      </c>
      <c r="O401" s="373">
        <f ca="1">+IF(L401&gt;0,N401*100/L401,0)</f>
        <v>89.941200885445497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IFERROR(__xludf.DUMMYFUNCTION("IMPORTRANGE(""https://docs.google.com/spreadsheets/d/1XL5vhW3sbDhbH9Cz0tuDiY8C3ctxq1tqvaCgkFb8cCA/edit?usp=sharing"",""บึงกาฬ!M299"")"),130019)</f>
        <v>130019</v>
      </c>
      <c r="O404" s="169">
        <f t="shared" ca="1" si="112"/>
        <v>89.941200885445497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IFERROR(__xludf.DUMMYFUNCTION("IMPORTRANGE(""https://docs.google.com/spreadsheets/d/1XL5vhW3sbDhbH9Cz0tuDiY8C3ctxq1tqvaCgkFb8cCA/edit?usp=sharing"",""บึงกาฬ!M301"")"),130019)</f>
        <v>130019</v>
      </c>
      <c r="O406" s="169">
        <f t="shared" ca="1" si="112"/>
        <v>89.941200885445497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IFERROR(__xludf.DUMMYFUNCTION("IMPORTRANGE(""https://docs.google.com/spreadsheets/d/1XL5vhW3sbDhbH9Cz0tuDiY8C3ctxq1tqvaCgkFb8cCA/edit?usp=sharing"",""บึงกาฬ!M302"")"),130019)</f>
        <v>130019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IFERROR(__xludf.DUMMYFUNCTION("IMPORTRANGE(""https://docs.google.com/spreadsheets/d/1XL5vhW3sbDhbH9Cz0tuDiY8C3ctxq1tqvaCgkFb8cCA/edit?usp=sharing"",""บึงกาฬ!M330"")"),99075)</f>
        <v>99075</v>
      </c>
      <c r="O435" s="412">
        <f t="shared" ref="O435:O439" ca="1" si="114">+IF(L435&gt;0,N435*100/L435,0)</f>
        <v>89.660633484162901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IFERROR(__xludf.DUMMYFUNCTION("IMPORTRANGE(""https://docs.google.com/spreadsheets/d/1XL5vhW3sbDhbH9Cz0tuDiY8C3ctxq1tqvaCgkFb8cCA/edit?usp=sharing"",""บึงกาฬ!M332"")"),99075)</f>
        <v>99075</v>
      </c>
      <c r="O437" s="169">
        <f t="shared" ca="1" si="114"/>
        <v>89.660633484162901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IFERROR(__xludf.DUMMYFUNCTION("IMPORTRANGE(""https://docs.google.com/spreadsheets/d/1XL5vhW3sbDhbH9Cz0tuDiY8C3ctxq1tqvaCgkFb8cCA/edit?usp=sharing"",""บึงกาฬ!M334"")"),99075)</f>
        <v>99075</v>
      </c>
      <c r="O439" s="169">
        <f t="shared" ca="1" si="114"/>
        <v>89.660633484162901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IFERROR(__xludf.DUMMYFUNCTION("IMPORTRANGE(""https://docs.google.com/spreadsheets/d/1XL5vhW3sbDhbH9Cz0tuDiY8C3ctxq1tqvaCgkFb8cCA/edit?usp=sharing"",""บึงกาฬ!J350"")"),38688)</f>
        <v>38688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IFERROR(__xludf.DUMMYFUNCTION("IMPORTRANGE(""https://docs.google.com/spreadsheets/d/1XL5vhW3sbDhbH9Cz0tuDiY8C3ctxq1tqvaCgkFb8cCA/edit?usp=sharing"",""บึงกาฬ!J359"")"),38688)</f>
        <v>38688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IFERROR(__xludf.DUMMYFUNCTION("IMPORTRANGE(""https://docs.google.com/spreadsheets/d/1XL5vhW3sbDhbH9Cz0tuDiY8C3ctxq1tqvaCgkFb8cCA/edit?usp=sharing"",""บึงกาฬ!J376"")"),38688)</f>
        <v>38688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IFERROR(__xludf.DUMMYFUNCTION("IMPORTRANGE(""https://docs.google.com/spreadsheets/d/1XL5vhW3sbDhbH9Cz0tuDiY8C3ctxq1tqvaCgkFb8cCA/edit?usp=sharing"",""บึงกาฬ!J377"")"),2619)</f>
        <v>2619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202">
        <f t="shared" ca="1" si="117"/>
        <v>37.532679738562095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2">
        <f t="shared" ca="1" si="117"/>
        <v>39.33649289099526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IFERROR(__xludf.DUMMYFUNCTION("IMPORTRANGE(""https://docs.google.com/spreadsheets/d/1XL5vhW3sbDhbH9Cz0tuDiY8C3ctxq1tqvaCgkFb8cCA/edit?usp=sharing"",""บึงกาฬ!J395"")"),2296)</f>
        <v>2296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IFERROR(__xludf.DUMMYFUNCTION("IMPORTRANGE(""https://docs.google.com/spreadsheets/d/1XL5vhW3sbDhbH9Cz0tuDiY8C3ctxq1tqvaCgkFb8cCA/edit?usp=sharing"",""บึงกาฬ!J396"")"),165)</f>
        <v>165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IFERROR(__xludf.DUMMYFUNCTION("IMPORTRANGE(""https://docs.google.com/spreadsheets/d/1XL5vhW3sbDhbH9Cz0tuDiY8C3ctxq1tqvaCgkFb8cCA/edit?usp=sharing"",""บึงกาฬ!J397"")"),2296)</f>
        <v>2296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IFERROR(__xludf.DUMMYFUNCTION("IMPORTRANGE(""https://docs.google.com/spreadsheets/d/1XL5vhW3sbDhbH9Cz0tuDiY8C3ctxq1tqvaCgkFb8cCA/edit?usp=sharing"",""บึงกาฬ!J398"")"),165)</f>
        <v>165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IFERROR(__xludf.DUMMYFUNCTION("IMPORTRANGE(""https://docs.google.com/spreadsheets/d/1XL5vhW3sbDhbH9Cz0tuDiY8C3ctxq1tqvaCgkFb8cCA/edit?usp=sharing"",""บึงกาฬ!M430"")"),34512)</f>
        <v>34512</v>
      </c>
      <c r="O535" s="169">
        <f t="shared" ca="1" si="118"/>
        <v>83.889158969372872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IFERROR(__xludf.DUMMYFUNCTION("IMPORTRANGE(""https://docs.google.com/spreadsheets/d/1XL5vhW3sbDhbH9Cz0tuDiY8C3ctxq1tqvaCgkFb8cCA/edit?usp=sharing"",""บึงกาฬ!M432"")"),34512)</f>
        <v>34512</v>
      </c>
      <c r="O537" s="169">
        <f t="shared" ca="1" si="118"/>
        <v>83.889158969372872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IFERROR(__xludf.DUMMYFUNCTION("IMPORTRANGE(""https://docs.google.com/spreadsheets/d/1XL5vhW3sbDhbH9Cz0tuDiY8C3ctxq1tqvaCgkFb8cCA/edit?usp=sharing"",""บึงกาฬ!M436"")"),8972)</f>
        <v>8972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IFERROR(__xludf.DUMMYFUNCTION("IMPORTRANGE(""https://docs.google.com/spreadsheets/d/1XL5vhW3sbDhbH9Cz0tuDiY8C3ctxq1tqvaCgkFb8cCA/edit?usp=sharing"",""บึงกาฬ!J446"")"),1991)</f>
        <v>1991</v>
      </c>
      <c r="K551" s="411">
        <f ca="1">IF(I551&gt;0,J551*100/I551,0)</f>
        <v>39.82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IFERROR(__xludf.DUMMYFUNCTION("IMPORTRANGE(""https://docs.google.com/spreadsheets/d/1XL5vhW3sbDhbH9Cz0tuDiY8C3ctxq1tqvaCgkFb8cCA/edit?usp=sharing"",""บึงกาฬ!M446"")"),287909)</f>
        <v>287909</v>
      </c>
      <c r="O551" s="412">
        <f t="shared" ref="O551:O555" ca="1" si="120">+IF(L551&gt;0,N551*100/L551,0)</f>
        <v>89.971562500000005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IFERROR(__xludf.DUMMYFUNCTION("IMPORTRANGE(""https://docs.google.com/spreadsheets/d/1XL5vhW3sbDhbH9Cz0tuDiY8C3ctxq1tqvaCgkFb8cCA/edit?usp=sharing"",""บึงกาฬ!M448"")"),287909)</f>
        <v>287909</v>
      </c>
      <c r="O553" s="169">
        <f t="shared" ca="1" si="120"/>
        <v>89.971562500000005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IFERROR(__xludf.DUMMYFUNCTION("IMPORTRANGE(""https://docs.google.com/spreadsheets/d/1XL5vhW3sbDhbH9Cz0tuDiY8C3ctxq1tqvaCgkFb8cCA/edit?usp=sharing"",""บึงกาฬ!M450"")"),287909)</f>
        <v>287909</v>
      </c>
      <c r="O555" s="169">
        <f t="shared" ca="1" si="120"/>
        <v>89.971562500000005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IFERROR(__xludf.DUMMYFUNCTION("IMPORTRANGE(""https://docs.google.com/spreadsheets/d/1XL5vhW3sbDhbH9Cz0tuDiY8C3ctxq1tqvaCgkFb8cCA/edit?usp=sharing"",""บึงกาฬ!M454"")"),287909)</f>
        <v>287909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IFERROR(__xludf.DUMMYFUNCTION("IMPORTRANGE(""https://docs.google.com/spreadsheets/d/1XL5vhW3sbDhbH9Cz0tuDiY8C3ctxq1tqvaCgkFb8cCA/edit?usp=sharing"",""บึงกาฬ!J455"")"),1991)</f>
        <v>1991</v>
      </c>
      <c r="K560" s="225">
        <f t="shared" ref="K560:K561" ca="1" si="121">IF(I560&gt;0,J560*100/I560,0)</f>
        <v>39.82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IFERROR(__xludf.DUMMYFUNCTION("IMPORTRANGE(""https://docs.google.com/spreadsheets/d/1XL5vhW3sbDhbH9Cz0tuDiY8C3ctxq1tqvaCgkFb8cCA/edit?usp=sharing"",""บึงกาฬ!J456"")"),136)</f>
        <v>136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IFERROR(__xludf.DUMMYFUNCTION("IMPORTRANGE(""https://docs.google.com/spreadsheets/d/1XL5vhW3sbDhbH9Cz0tuDiY8C3ctxq1tqvaCgkFb8cCA/edit?usp=sharing"",""บึงกาฬ!J459"")"),3681)</f>
        <v>3681</v>
      </c>
      <c r="K564" s="372">
        <f ca="1">IF(I564&gt;0,J564*100/I564,0)</f>
        <v>105.17142857142858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IFERROR(__xludf.DUMMYFUNCTION("IMPORTRANGE(""https://docs.google.com/spreadsheets/d/1XL5vhW3sbDhbH9Cz0tuDiY8C3ctxq1tqvaCgkFb8cCA/edit?usp=sharing"",""บึงกาฬ!M459"")"),75128)</f>
        <v>75128</v>
      </c>
      <c r="O564" s="373">
        <f t="shared" ref="O564:O568" ca="1" si="122">+IF(L564&gt;0,N564*100/L564,0)</f>
        <v>46.954999999999998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IFERROR(__xludf.DUMMYFUNCTION("IMPORTRANGE(""https://docs.google.com/spreadsheets/d/1XL5vhW3sbDhbH9Cz0tuDiY8C3ctxq1tqvaCgkFb8cCA/edit?usp=sharing"",""บึงกาฬ!M461"")"),75128)</f>
        <v>75128</v>
      </c>
      <c r="O566" s="169">
        <f t="shared" ca="1" si="122"/>
        <v>46.954999999999998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IFERROR(__xludf.DUMMYFUNCTION("IMPORTRANGE(""https://docs.google.com/spreadsheets/d/1XL5vhW3sbDhbH9Cz0tuDiY8C3ctxq1tqvaCgkFb8cCA/edit?usp=sharing"",""บึงกาฬ!M463"")"),75128)</f>
        <v>75128</v>
      </c>
      <c r="O568" s="169">
        <f t="shared" ca="1" si="122"/>
        <v>46.954999999999998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IFERROR(__xludf.DUMMYFUNCTION("IMPORTRANGE(""https://docs.google.com/spreadsheets/d/1XL5vhW3sbDhbH9Cz0tuDiY8C3ctxq1tqvaCgkFb8cCA/edit?usp=sharing"",""บึงกาฬ!M466"")"),54278)</f>
        <v>54278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IFERROR(__xludf.DUMMYFUNCTION("IMPORTRANGE(""https://docs.google.com/spreadsheets/d/1XL5vhW3sbDhbH9Cz0tuDiY8C3ctxq1tqvaCgkFb8cCA/edit?usp=sharing"",""บึงกาฬ!M467"")"),20850)</f>
        <v>20850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IFERROR(__xludf.DUMMYFUNCTION("IMPORTRANGE(""https://docs.google.com/spreadsheets/d/1XL5vhW3sbDhbH9Cz0tuDiY8C3ctxq1tqvaCgkFb8cCA/edit?usp=sharing"",""บึงกาฬ!J468"")"),3681)</f>
        <v>3681</v>
      </c>
      <c r="K573" s="202">
        <f ca="1">IF(I573&gt;0,J573*100/I573,0)</f>
        <v>105.17142857142858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IFERROR(__xludf.DUMMYFUNCTION("IMPORTRANGE(""https://docs.google.com/spreadsheets/d/1XL5vhW3sbDhbH9Cz0tuDiY8C3ctxq1tqvaCgkFb8cCA/edit?usp=sharing"",""บึงกาฬ!J471"")"),363)</f>
        <v>363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IFERROR(__xludf.DUMMYFUNCTION("IMPORTRANGE(""https://docs.google.com/spreadsheets/d/1XL5vhW3sbDhbH9Cz0tuDiY8C3ctxq1tqvaCgkFb8cCA/edit?usp=sharing"",""บึงกาฬ!J472"")"),3318)</f>
        <v>3318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IFERROR(__xludf.DUMMYFUNCTION("IMPORTRANGE(""https://docs.google.com/spreadsheets/d/1XL5vhW3sbDhbH9Cz0tuDiY8C3ctxq1tqvaCgkFb8cCA/edit?usp=sharing"",""บึงกาฬ!J475"")"),5)</f>
        <v>5</v>
      </c>
      <c r="K580" s="372">
        <f ca="1">IF(I580&gt;0,J580*100/I580,0)</f>
        <v>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IFERROR(__xludf.DUMMYFUNCTION("IMPORTRANGE(""https://docs.google.com/spreadsheets/d/1XL5vhW3sbDhbH9Cz0tuDiY8C3ctxq1tqvaCgkFb8cCA/edit?usp=sharing"",""บึงกาฬ!J484"")"),54)</f>
        <v>54</v>
      </c>
      <c r="K589" s="163">
        <f t="shared" ref="K589:K596" ca="1" si="125">IF(I589&gt;0,J589*100/I589,0)</f>
        <v>108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IFERROR(__xludf.DUMMYFUNCTION("IMPORTRANGE(""https://docs.google.com/spreadsheets/d/1XL5vhW3sbDhbH9Cz0tuDiY8C3ctxq1tqvaCgkFb8cCA/edit?usp=sharing"",""บึงกาฬ!J485"")"),279.54)</f>
        <v>279.54000000000002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IFERROR(__xludf.DUMMYFUNCTION("IMPORTRANGE(""https://docs.google.com/spreadsheets/d/1XL5vhW3sbDhbH9Cz0tuDiY8C3ctxq1tqvaCgkFb8cCA/edit?usp=sharing"",""บึงกาฬ!J486"")"),14)</f>
        <v>14</v>
      </c>
      <c r="K591" s="163">
        <f t="shared" ca="1" si="125"/>
        <v>28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IFERROR(__xludf.DUMMYFUNCTION("IMPORTRANGE(""https://docs.google.com/spreadsheets/d/1XL5vhW3sbDhbH9Cz0tuDiY8C3ctxq1tqvaCgkFb8cCA/edit?usp=sharing"",""บึงกาฬ!J487"")"),41.99)</f>
        <v>41.99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IFERROR(__xludf.DUMMYFUNCTION("IMPORTRANGE(""https://docs.google.com/spreadsheets/d/1XL5vhW3sbDhbH9Cz0tuDiY8C3ctxq1tqvaCgkFb8cCA/edit?usp=sharing"",""บึงกาฬ!J488"")"),4)</f>
        <v>4</v>
      </c>
      <c r="K593" s="163">
        <f t="shared" ca="1" si="125"/>
        <v>8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IFERROR(__xludf.DUMMYFUNCTION("IMPORTRANGE(""https://docs.google.com/spreadsheets/d/1XL5vhW3sbDhbH9Cz0tuDiY8C3ctxq1tqvaCgkFb8cCA/edit?usp=sharing"",""บึงกาฬ!J489"")"),21.56)</f>
        <v>21.56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IFERROR(__xludf.DUMMYFUNCTION("IMPORTRANGE(""https://docs.google.com/spreadsheets/d/1XL5vhW3sbDhbH9Cz0tuDiY8C3ctxq1tqvaCgkFb8cCA/edit?usp=sharing"",""บึงกาฬ!J490"")"),5)</f>
        <v>5</v>
      </c>
      <c r="K595" s="163">
        <f t="shared" ca="1" si="125"/>
        <v>10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IFERROR(__xludf.DUMMYFUNCTION("IMPORTRANGE(""https://docs.google.com/spreadsheets/d/1XL5vhW3sbDhbH9Cz0tuDiY8C3ctxq1tqvaCgkFb8cCA/edit?usp=sharing"",""บึงกาฬ!J491"")"),2.85)</f>
        <v>2.85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IFERROR(__xludf.DUMMYFUNCTION("IMPORTRANGE(""https://docs.google.com/spreadsheets/d/1XL5vhW3sbDhbH9Cz0tuDiY8C3ctxq1tqvaCgkFb8cCA/edit?usp=sharing"",""บึงกาฬ!L494"")"),5350)</f>
        <v>5350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IFERROR(__xludf.DUMMYFUNCTION("IMPORTRANGE(""https://docs.google.com/spreadsheets/d/1XL5vhW3sbDhbH9Cz0tuDiY8C3ctxq1tqvaCgkFb8cCA/edit?usp=sharing"",""บึงกาฬ!L496"")"),5350)</f>
        <v>5350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IFERROR(__xludf.DUMMYFUNCTION("IMPORTRANGE(""https://docs.google.com/spreadsheets/d/1XL5vhW3sbDhbH9Cz0tuDiY8C3ctxq1tqvaCgkFb8cCA/edit?usp=sharing"",""บึงกาฬ!J166"")"),0)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IFERROR(__xludf.DUMMYFUNCTION("IMPORTRANGE(""https://docs.google.com/spreadsheets/d/1XL5vhW3sbDhbH9Cz0tuDiY8C3ctxq1tqvaCgkFb8cCA/edit?usp=sharing"",""บึงกาฬ!J166"")"),0)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IFERROR(__xludf.DUMMYFUNCTION("IMPORTRANGE(""https://docs.google.com/spreadsheets/d/1XL5vhW3sbDhbH9Cz0tuDiY8C3ctxq1tqvaCgkFb8cCA/edit?usp=sharing"",""บึงกาฬ!J523"")"),1232535.83)</f>
        <v>1232535.83</v>
      </c>
      <c r="K628" s="343">
        <f t="shared" ref="K628:K635" ca="1" si="129">IF(I628&gt;0,J628*100/I628,0)</f>
        <v>28.490616737325656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IFERROR(__xludf.DUMMYFUNCTION("IMPORTRANGE(""https://docs.google.com/spreadsheets/d/1XL5vhW3sbDhbH9Cz0tuDiY8C3ctxq1tqvaCgkFb8cCA/edit?usp=sharing"",""บึงกาฬ!J524"")"),76)</f>
        <v>76</v>
      </c>
      <c r="K629" s="343">
        <f t="shared" ca="1" si="129"/>
        <v>26.760563380281692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IFERROR(__xludf.DUMMYFUNCTION("IMPORTRANGE(""https://docs.google.com/spreadsheets/d/1XL5vhW3sbDhbH9Cz0tuDiY8C3ctxq1tqvaCgkFb8cCA/edit?usp=sharing"",""บึงกาฬ!J525"")"),573039.93)</f>
        <v>573039.93000000005</v>
      </c>
      <c r="K630" s="343">
        <f t="shared" ca="1" si="129"/>
        <v>39.681527999938851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IFERROR(__xludf.DUMMYFUNCTION("IMPORTRANGE(""https://docs.google.com/spreadsheets/d/1XL5vhW3sbDhbH9Cz0tuDiY8C3ctxq1tqvaCgkFb8cCA/edit?usp=sharing"",""บึงกาฬ!J526"")"),60)</f>
        <v>60</v>
      </c>
      <c r="K631" s="343">
        <f t="shared" ca="1" si="129"/>
        <v>89.552238805970148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IFERROR(__xludf.DUMMYFUNCTION("IMPORTRANGE(""https://docs.google.com/spreadsheets/d/1XL5vhW3sbDhbH9Cz0tuDiY8C3ctxq1tqvaCgkFb8cCA/edit?usp=sharing"",""บึงกาฬ!J530"")"),49)</f>
        <v>49</v>
      </c>
      <c r="K635" s="486">
        <f t="shared" ca="1" si="129"/>
        <v>81.666666666666671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IFERROR(__xludf.DUMMYFUNCTION("IMPORTRANGE(""https://docs.google.com/spreadsheets/d/1XL5vhW3sbDhbH9Cz0tuDiY8C3ctxq1tqvaCgkFb8cCA/edit#gid=346597447"",""บึงกาฬ!J541"")"),0)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IFERROR(__xludf.DUMMYFUNCTION("IMPORTRANGE(""https://docs.google.com/spreadsheets/d/1XL5vhW3sbDhbH9Cz0tuDiY8C3ctxq1tqvaCgkFb8cCA/edit#gid=346597447"",""บึงกาฬ!J542"")"),0)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IFERROR(__xludf.DUMMYFUNCTION("IMPORTRANGE(""https://docs.google.com/spreadsheets/d/1XL5vhW3sbDhbH9Cz0tuDiY8C3ctxq1tqvaCgkFb8cCA/edit#gid=346597447"",""บึงกาฬ!I543"")"),0)</f>
        <v>0</v>
      </c>
      <c r="J648" s="585">
        <f ca="1">IFERROR(__xludf.DUMMYFUNCTION("IMPORTRANGE(""https://docs.google.com/spreadsheets/d/1XL5vhW3sbDhbH9Cz0tuDiY8C3ctxq1tqvaCgkFb8cCA/edit#gid=346597447"",""บึงกาฬ!J543"")"),0)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IFERROR(__xludf.DUMMYFUNCTION("IMPORTRANGE(""https://docs.google.com/spreadsheets/d/1XL5vhW3sbDhbH9Cz0tuDiY8C3ctxq1tqvaCgkFb8cCA/edit#gid=346597447"",""บึงกาฬ!L543"")"),0)</f>
        <v>0</v>
      </c>
      <c r="M648" s="570"/>
      <c r="N648" s="587">
        <f ca="1">IFERROR(__xludf.DUMMYFUNCTION("IMPORTRANGE(""https://docs.google.com/spreadsheets/d/1XL5vhW3sbDhbH9Cz0tuDiY8C3ctxq1tqvaCgkFb8cCA/edit#gid=346597447"",""บึงกาฬ!M543"")"),0)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IFERROR(__xludf.DUMMYFUNCTION("IMPORTRANGE(""https://docs.google.com/spreadsheets/d/1XL5vhW3sbDhbH9Cz0tuDiY8C3ctxq1tqvaCgkFb8cCA/edit#gid=346597447"",""บึงกาฬ!I544"")"),0)</f>
        <v>0</v>
      </c>
      <c r="J649" s="585">
        <f ca="1">IFERROR(__xludf.DUMMYFUNCTION("IMPORTRANGE(""https://docs.google.com/spreadsheets/d/1XL5vhW3sbDhbH9Cz0tuDiY8C3ctxq1tqvaCgkFb8cCA/edit#gid=346597447"",""บึงกาฬ!J544"")"),0)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IFERROR(__xludf.DUMMYFUNCTION("IMPORTRANGE(""https://docs.google.com/spreadsheets/d/1XL5vhW3sbDhbH9Cz0tuDiY8C3ctxq1tqvaCgkFb8cCA/edit#gid=346597447"",""บึงกาฬ!L544"")"),0)</f>
        <v>0</v>
      </c>
      <c r="M649" s="570"/>
      <c r="N649" s="587">
        <f ca="1">IFERROR(__xludf.DUMMYFUNCTION("IMPORTRANGE(""https://docs.google.com/spreadsheets/d/1XL5vhW3sbDhbH9Cz0tuDiY8C3ctxq1tqvaCgkFb8cCA/edit#gid=346597447"",""บึงกาฬ!M544"")"),0)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IFERROR(__xludf.DUMMYFUNCTION("IMPORTRANGE(""https://docs.google.com/spreadsheets/d/1XL5vhW3sbDhbH9Cz0tuDiY8C3ctxq1tqvaCgkFb8cCA/edit#gid=346597447"",""บึงกาฬ!I545"")"),0)</f>
        <v>0</v>
      </c>
      <c r="J650" s="585">
        <f ca="1">IFERROR(__xludf.DUMMYFUNCTION("IMPORTRANGE(""https://docs.google.com/spreadsheets/d/1XL5vhW3sbDhbH9Cz0tuDiY8C3ctxq1tqvaCgkFb8cCA/edit#gid=346597447"",""บึงกาฬ!J545"")"),0)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IFERROR(__xludf.DUMMYFUNCTION("IMPORTRANGE(""https://docs.google.com/spreadsheets/d/1XL5vhW3sbDhbH9Cz0tuDiY8C3ctxq1tqvaCgkFb8cCA/edit#gid=346597447"",""บึงกาฬ!L545"")"),0)</f>
        <v>0</v>
      </c>
      <c r="M650" s="570"/>
      <c r="N650" s="587">
        <f ca="1">IFERROR(__xludf.DUMMYFUNCTION("IMPORTRANGE(""https://docs.google.com/spreadsheets/d/1XL5vhW3sbDhbH9Cz0tuDiY8C3ctxq1tqvaCgkFb8cCA/edit#gid=346597447"",""บึงกาฬ!M545"")"),0)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IFERROR(__xludf.DUMMYFUNCTION("IMPORTRANGE(""https://docs.google.com/spreadsheets/d/1XL5vhW3sbDhbH9Cz0tuDiY8C3ctxq1tqvaCgkFb8cCA/edit#gid=346597447"",""บึงกาฬ!I546"")"),0)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IFERROR(__xludf.DUMMYFUNCTION("IMPORTRANGE(""https://docs.google.com/spreadsheets/d/1XL5vhW3sbDhbH9Cz0tuDiY8C3ctxq1tqvaCgkFb8cCA/edit#gid=346597447"",""บึงกาฬ!L546"")"),0)</f>
        <v>0</v>
      </c>
      <c r="M651" s="570"/>
      <c r="N651" s="587">
        <f ca="1">IFERROR(__xludf.DUMMYFUNCTION("IMPORTRANGE(""https://docs.google.com/spreadsheets/d/1XL5vhW3sbDhbH9Cz0tuDiY8C3ctxq1tqvaCgkFb8cCA/edit#gid=346597447"",""บึงกาฬ!M546"")"),0)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IFERROR(__xludf.DUMMYFUNCTION("IMPORTRANGE(""https://docs.google.com/spreadsheets/d/1XL5vhW3sbDhbH9Cz0tuDiY8C3ctxq1tqvaCgkFb8cCA/edit#gid=346597447"",""บึงกาฬ!J547"")"),0)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IFERROR(__xludf.DUMMYFUNCTION("IMPORTRANGE(""https://docs.google.com/spreadsheets/d/1XL5vhW3sbDhbH9Cz0tuDiY8C3ctxq1tqvaCgkFb8cCA/edit#gid=346597447"",""บึงกาฬ!J548"")"),0)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IFERROR(__xludf.DUMMYFUNCTION("IMPORTRANGE(""https://docs.google.com/spreadsheets/d/1XL5vhW3sbDhbH9Cz0tuDiY8C3ctxq1tqvaCgkFb8cCA/edit#gid=346597447"",""บึงกาฬ!J550"")"),0)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IFERROR(__xludf.DUMMYFUNCTION("IMPORTRANGE(""https://docs.google.com/spreadsheets/d/1XL5vhW3sbDhbH9Cz0tuDiY8C3ctxq1tqvaCgkFb8cCA/edit#gid=346597447"",""บึงกาฬ!J551"")"),0)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IFERROR(__xludf.DUMMYFUNCTION("IMPORTRANGE(""https://docs.google.com/spreadsheets/d/1XL5vhW3sbDhbH9Cz0tuDiY8C3ctxq1tqvaCgkFb8cCA/edit#gid=346597447"",""บึงกาฬ!J552"")"),0)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IFERROR(__xludf.DUMMYFUNCTION("IMPORTRANGE(""https://docs.google.com/spreadsheets/d/1XL5vhW3sbDhbH9Cz0tuDiY8C3ctxq1tqvaCgkFb8cCA/edit#gid=346597447"",""บึงกาฬ!J553"")"),0)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IFERROR(__xludf.DUMMYFUNCTION("IMPORTRANGE(""https://docs.google.com/spreadsheets/d/1XL5vhW3sbDhbH9Cz0tuDiY8C3ctxq1tqvaCgkFb8cCA/edit#gid=346597447"",""บึงกาฬ!J554"")"),0)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IFERROR(__xludf.DUMMYFUNCTION("IMPORTRANGE(""https://docs.google.com/spreadsheets/d/1XL5vhW3sbDhbH9Cz0tuDiY8C3ctxq1tqvaCgkFb8cCA/edit#gid=346597447"",""บึงกาฬ!J555"")"),0)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IFERROR(__xludf.DUMMYFUNCTION("IMPORTRANGE(""https://docs.google.com/spreadsheets/d/1XL5vhW3sbDhbH9Cz0tuDiY8C3ctxq1tqvaCgkFb8cCA/edit#gid=346597447"",""บึงกาฬ!J556"")"),0)</f>
        <v>0</v>
      </c>
      <c r="K661" s="586"/>
      <c r="L661" s="571">
        <f ca="1">IFERROR(__xludf.DUMMYFUNCTION("IMPORTRANGE(""https://docs.google.com/spreadsheets/d/1XL5vhW3sbDhbH9Cz0tuDiY8C3ctxq1tqvaCgkFb8cCA/edit#gid=346597447"",""บึงกาฬ!L556"")"),0)</f>
        <v>0</v>
      </c>
      <c r="M661" s="570"/>
      <c r="N661" s="587">
        <f ca="1">IFERROR(__xludf.DUMMYFUNCTION("IMPORTRANGE(""https://docs.google.com/spreadsheets/d/1XL5vhW3sbDhbH9Cz0tuDiY8C3ctxq1tqvaCgkFb8cCA/edit#gid=346597447"",""บึงกาฬ!M556"")"),0)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IFERROR(__xludf.DUMMYFUNCTION("IMPORTRANGE(""https://docs.google.com/spreadsheets/d/1XL5vhW3sbDhbH9Cz0tuDiY8C3ctxq1tqvaCgkFb8cCA/edit#gid=346597447"",""บึงกาฬ!J557"")"),0)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IFERROR(__xludf.DUMMYFUNCTION("IMPORTRANGE(""https://docs.google.com/spreadsheets/d/1XL5vhW3sbDhbH9Cz0tuDiY8C3ctxq1tqvaCgkFb8cCA/edit#gid=346597447"",""บึงกาฬ!I558"")"),0)</f>
        <v>0</v>
      </c>
      <c r="J663" s="585">
        <f ca="1">IFERROR(__xludf.DUMMYFUNCTION("IMPORTRANGE(""https://docs.google.com/spreadsheets/d/1XL5vhW3sbDhbH9Cz0tuDiY8C3ctxq1tqvaCgkFb8cCA/edit#gid=346597447"",""บึงกาฬ!J558"")"),0)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IFERROR(__xludf.DUMMYFUNCTION("IMPORTRANGE(""https://docs.google.com/spreadsheets/d/1XL5vhW3sbDhbH9Cz0tuDiY8C3ctxq1tqvaCgkFb8cCA/edit#gid=346597447"",""บึงกาฬ!I560"")"),0)</f>
        <v>0</v>
      </c>
      <c r="J665" s="585">
        <f ca="1">IFERROR(__xludf.DUMMYFUNCTION("IMPORTRANGE(""https://docs.google.com/spreadsheets/d/1XL5vhW3sbDhbH9Cz0tuDiY8C3ctxq1tqvaCgkFb8cCA/edit#gid=346597447"",""บึงกาฬ!J560"")"),0)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IFERROR(__xludf.DUMMYFUNCTION("IMPORTRANGE(""https://docs.google.com/spreadsheets/d/1XL5vhW3sbDhbH9Cz0tuDiY8C3ctxq1tqvaCgkFb8cCA/edit#gid=346597447"",""บึงกาฬ!L560"")"),0)</f>
        <v>0</v>
      </c>
      <c r="M665" s="570"/>
      <c r="N665" s="587">
        <f ca="1">IFERROR(__xludf.DUMMYFUNCTION("IMPORTRANGE(""https://docs.google.com/spreadsheets/d/1XL5vhW3sbDhbH9Cz0tuDiY8C3ctxq1tqvaCgkFb8cCA/edit#gid=346597447"",""บึงกาฬ!M560"")"),0)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IFERROR(__xludf.DUMMYFUNCTION("IMPORTRANGE(""https://docs.google.com/spreadsheets/d/1XL5vhW3sbDhbH9Cz0tuDiY8C3ctxq1tqvaCgkFb8cCA/edit#gid=346597447"",""บึงกาฬ!J561"")"),0)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IFERROR(__xludf.DUMMYFUNCTION("IMPORTRANGE(""https://docs.google.com/spreadsheets/d/1XL5vhW3sbDhbH9Cz0tuDiY8C3ctxq1tqvaCgkFb8cCA/edit#gid=346597447"",""บึงกาฬ!J562"")"),0)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IFERROR(__xludf.DUMMYFUNCTION("IMPORTRANGE(""https://docs.google.com/spreadsheets/d/1XL5vhW3sbDhbH9Cz0tuDiY8C3ctxq1tqvaCgkFb8cCA/edit#gid=346597447"",""บึงกาฬ!I563"")"),0)</f>
        <v>0</v>
      </c>
      <c r="J668" s="585">
        <f ca="1">IFERROR(__xludf.DUMMYFUNCTION("IMPORTRANGE(""https://docs.google.com/spreadsheets/d/1XL5vhW3sbDhbH9Cz0tuDiY8C3ctxq1tqvaCgkFb8cCA/edit#gid=346597447"",""บึงกาฬ!J563"")"),0)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IFERROR(__xludf.DUMMYFUNCTION("IMPORTRANGE(""https://docs.google.com/spreadsheets/d/1XL5vhW3sbDhbH9Cz0tuDiY8C3ctxq1tqvaCgkFb8cCA/edit#gid=346597447"",""บึงกาฬ!L563"")"),0)</f>
        <v>0</v>
      </c>
      <c r="M668" s="570"/>
      <c r="N668" s="587">
        <f ca="1">IFERROR(__xludf.DUMMYFUNCTION("IMPORTRANGE(""https://docs.google.com/spreadsheets/d/1XL5vhW3sbDhbH9Cz0tuDiY8C3ctxq1tqvaCgkFb8cCA/edit#gid=346597447"",""บึงกาฬ!M563"")"),0)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IFERROR(__xludf.DUMMYFUNCTION("IMPORTRANGE(""https://docs.google.com/spreadsheets/d/1XL5vhW3sbDhbH9Cz0tuDiY8C3ctxq1tqvaCgkFb8cCA/edit#gid=346597447"",""บึงกาฬ!J564"")"),0)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IFERROR(__xludf.DUMMYFUNCTION("IMPORTRANGE(""https://docs.google.com/spreadsheets/d/1XL5vhW3sbDhbH9Cz0tuDiY8C3ctxq1tqvaCgkFb8cCA/edit#gid=346597447"",""บึงกาฬ!J565"")"),0)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IFERROR(__xludf.DUMMYFUNCTION("IMPORTRANGE(""https://docs.google.com/spreadsheets/d/1XL5vhW3sbDhbH9Cz0tuDiY8C3ctxq1tqvaCgkFb8cCA/edit#gid=346597447"",""บึงกาฬ!I566"")"),0)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IFERROR(__xludf.DUMMYFUNCTION("IMPORTRANGE(""https://docs.google.com/spreadsheets/d/1XL5vhW3sbDhbH9Cz0tuDiY8C3ctxq1tqvaCgkFb8cCA/edit#gid=346597447"",""บึงกาฬ!L566"")"),0)</f>
        <v>0</v>
      </c>
      <c r="M671" s="570"/>
      <c r="N671" s="587">
        <f ca="1">IFERROR(__xludf.DUMMYFUNCTION("IMPORTRANGE(""https://docs.google.com/spreadsheets/d/1XL5vhW3sbDhbH9Cz0tuDiY8C3ctxq1tqvaCgkFb8cCA/edit#gid=346597447"",""บึงกาฬ!M566"")"),0)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IFERROR(__xludf.DUMMYFUNCTION("IMPORTRANGE(""https://docs.google.com/spreadsheets/d/1XL5vhW3sbDhbH9Cz0tuDiY8C3ctxq1tqvaCgkFb8cCA/edit#gid=346597447"",""บึงกาฬ!J567"")"),0)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IFERROR(__xludf.DUMMYFUNCTION("IMPORTRANGE(""https://docs.google.com/spreadsheets/d/1XL5vhW3sbDhbH9Cz0tuDiY8C3ctxq1tqvaCgkFb8cCA/edit#gid=346597447"",""บึงกาฬ!J568"")"),0)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IFERROR(__xludf.DUMMYFUNCTION("IMPORTRANGE(""https://docs.google.com/spreadsheets/d/1XL5vhW3sbDhbH9Cz0tuDiY8C3ctxq1tqvaCgkFb8cCA/edit#gid=346597447"",""บึงกาฬ!J569"")"),0)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IFERROR(__xludf.DUMMYFUNCTION("IMPORTRANGE(""https://docs.google.com/spreadsheets/d/1XL5vhW3sbDhbH9Cz0tuDiY8C3ctxq1tqvaCgkFb8cCA/edit#gid=346597447"",""บึงกาฬ!J570"")"),0)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IFERROR(__xludf.DUMMYFUNCTION("IMPORTRANGE(""https://docs.google.com/spreadsheets/d/1XL5vhW3sbDhbH9Cz0tuDiY8C3ctxq1tqvaCgkFb8cCA/edit#gid=346597447"",""บึงกาฬ!J571"")"),0)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IFERROR(__xludf.DUMMYFUNCTION("IMPORTRANGE(""https://docs.google.com/spreadsheets/d/1XL5vhW3sbDhbH9Cz0tuDiY8C3ctxq1tqvaCgkFb8cCA/edit#gid=346597447"",""บึงกาฬ!J572"")"),0)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42578125" customWidth="1"/>
    <col min="8" max="8" width="10.85546875" customWidth="1"/>
    <col min="9" max="10" width="15.85546875" customWidth="1"/>
    <col min="11" max="11" width="10.8554687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272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9234362</v>
      </c>
      <c r="M8" s="23">
        <f t="shared" ca="1" si="0"/>
        <v>4565862</v>
      </c>
      <c r="N8" s="23">
        <f t="shared" ca="1" si="0"/>
        <v>4455808.919999999</v>
      </c>
      <c r="O8" s="22">
        <f t="shared" ref="O8:O16" ca="1" si="1">IF(L8&gt;0,N8*100/L8,0)</f>
        <v>48.252482629552524</v>
      </c>
      <c r="P8" s="22">
        <f t="shared" ref="P8:P16" ca="1" si="2">IF(M8&gt;0,N8*100/M8,0)</f>
        <v>97.589653826593945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9234362</v>
      </c>
      <c r="M10" s="30">
        <f t="shared" ca="1" si="4"/>
        <v>4565862</v>
      </c>
      <c r="N10" s="30">
        <f t="shared" ca="1" si="4"/>
        <v>4455808.919999999</v>
      </c>
      <c r="O10" s="29">
        <f t="shared" ca="1" si="1"/>
        <v>48.252482629552524</v>
      </c>
      <c r="P10" s="29">
        <f t="shared" ca="1" si="2"/>
        <v>97.589653826593945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8375462</v>
      </c>
      <c r="M12" s="38">
        <f t="shared" ca="1" si="6"/>
        <v>3706962</v>
      </c>
      <c r="N12" s="38">
        <f t="shared" ca="1" si="6"/>
        <v>3596908.919999999</v>
      </c>
      <c r="O12" s="38">
        <f t="shared" ca="1" si="1"/>
        <v>42.945797139310031</v>
      </c>
      <c r="P12" s="38">
        <f t="shared" ca="1" si="2"/>
        <v>97.031178630911214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5972662</v>
      </c>
      <c r="M14" s="38">
        <f t="shared" si="8"/>
        <v>0</v>
      </c>
      <c r="N14" s="38">
        <f t="shared" ca="1" si="8"/>
        <v>667946.50999999908</v>
      </c>
      <c r="O14" s="38">
        <f t="shared" ca="1" si="1"/>
        <v>11.183397118403805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4565862</v>
      </c>
      <c r="N18" s="23">
        <f t="shared" ca="1" si="11"/>
        <v>3787862.41</v>
      </c>
      <c r="O18" s="22">
        <f t="shared" ref="O18:O20" ca="1" si="12">IF(L18&gt;0,N18*100/L18,0)</f>
        <v>71.202228064058019</v>
      </c>
      <c r="P18" s="22">
        <f t="shared" ref="P18:P26" ca="1" si="13">IF(M18&gt;0,N18*100/M18,0)</f>
        <v>82.960510195008084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4565862</v>
      </c>
      <c r="N20" s="30">
        <f t="shared" ca="1" si="15"/>
        <v>3787862.41</v>
      </c>
      <c r="O20" s="29">
        <f t="shared" ca="1" si="12"/>
        <v>71.202228064058019</v>
      </c>
      <c r="P20" s="29">
        <f t="shared" ca="1" si="13"/>
        <v>82.960510195008084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3706962</v>
      </c>
      <c r="N22" s="38">
        <f t="shared" ca="1" si="18"/>
        <v>2928962.41</v>
      </c>
      <c r="O22" s="38">
        <f t="shared" ca="1" si="17"/>
        <v>65.657596730752203</v>
      </c>
      <c r="P22" s="38">
        <f t="shared" ca="1" si="13"/>
        <v>79.012474635564104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3914497</v>
      </c>
      <c r="M28" s="23">
        <f t="shared" si="23"/>
        <v>0</v>
      </c>
      <c r="N28" s="23">
        <f t="shared" ca="1" si="23"/>
        <v>667946.50999999908</v>
      </c>
      <c r="O28" s="22">
        <f t="shared" ref="O28:O30" ca="1" si="24">IF(L28&gt;0,N28*100/L28,0)</f>
        <v>17.063405847545653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3914497</v>
      </c>
      <c r="M30" s="30">
        <f t="shared" si="27"/>
        <v>0</v>
      </c>
      <c r="N30" s="30">
        <f t="shared" ca="1" si="27"/>
        <v>667946.50999999908</v>
      </c>
      <c r="O30" s="29">
        <f t="shared" ca="1" si="24"/>
        <v>17.063405847545653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3914497</v>
      </c>
      <c r="M32" s="38">
        <f t="shared" si="30"/>
        <v>0</v>
      </c>
      <c r="N32" s="38">
        <f t="shared" ca="1" si="30"/>
        <v>667946.50999999908</v>
      </c>
      <c r="O32" s="38">
        <f t="shared" ca="1" si="29"/>
        <v>17.063405847545653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3914497</v>
      </c>
      <c r="M34" s="38">
        <f t="shared" si="32"/>
        <v>0</v>
      </c>
      <c r="N34" s="38">
        <f t="shared" ca="1" si="32"/>
        <v>667946.50999999908</v>
      </c>
      <c r="O34" s="38">
        <f t="shared" ca="1" si="29"/>
        <v>17.063405847545653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4565862</v>
      </c>
      <c r="N37" s="54">
        <f t="shared" ca="1" si="33"/>
        <v>3787862.41</v>
      </c>
      <c r="O37" s="55">
        <f t="shared" ca="1" si="29"/>
        <v>71.202228064058019</v>
      </c>
      <c r="P37" s="55">
        <f t="shared" ca="1" si="25"/>
        <v>82.960510195008084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1396600</v>
      </c>
      <c r="N41" s="78">
        <f t="shared" ca="1" si="34"/>
        <v>1374655.04</v>
      </c>
      <c r="O41" s="77">
        <f t="shared" ref="O41:O43" ca="1" si="35">IF(L41&gt;0,N41*100/L41,0)</f>
        <v>87.135841784989864</v>
      </c>
      <c r="P41" s="77">
        <f t="shared" ref="P41:P43" ca="1" si="36">IF(M41&gt;0,N41*100/M41,0)</f>
        <v>98.428686810826292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1396600</v>
      </c>
      <c r="N43" s="78">
        <f t="shared" ca="1" si="38"/>
        <v>1374655.04</v>
      </c>
      <c r="O43" s="77">
        <f t="shared" ca="1" si="35"/>
        <v>87.135841784989864</v>
      </c>
      <c r="P43" s="77">
        <f t="shared" ca="1" si="36"/>
        <v>98.428686810826292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622">
        <f ca="1">IFERROR(__xludf.DUMMYFUNCTION("IMPORTRANGE(""https://docs.google.com/spreadsheets/d/1Yj_ptqi66GCucihVvJfMjLAmec39IyEx_6qawtMGysU/edit?usp=sharing"",""สบก!Q44"")"),543100)</f>
        <v>543100</v>
      </c>
      <c r="N45" s="622">
        <f ca="1">IFERROR(__xludf.DUMMYFUNCTION("IMPORTRANGE(""https://docs.google.com/spreadsheets/d/1Yj_ptqi66GCucihVvJfMjLAmec39IyEx_6qawtMGysU/edit?usp=sharing"",""สบก!R44"")"),521155.04)</f>
        <v>521155.04</v>
      </c>
      <c r="O45" s="623">
        <f ca="1">IF(L45&gt;0,N45*100/L45,0)</f>
        <v>71.972799337108128</v>
      </c>
      <c r="P45" s="623">
        <f ca="1">IF(M45&gt;0,N45*100/M45,0)</f>
        <v>95.959315043270109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IFERROR(__xludf.DUMMYFUNCTION("IMPORTRANGE(""https://docs.google.com/spreadsheets/d/1Yj_ptqi66GCucihVvJfMjLAmec39IyEx_6qawtMGysU/edit?usp=sharing"",""สบก!M44"")"),724100)</f>
        <v>724100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IFERROR(__xludf.DUMMYFUNCTION("IMPORTRANGE(""https://docs.google.com/spreadsheets/d/1Yj_ptqi66GCucihVvJfMjLAmec39IyEx_6qawtMGysU/edit?usp=sharing"",""สบก!N44"")"),0)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IFERROR(__xludf.DUMMYFUNCTION("IMPORTRANGE(""https://docs.google.com/spreadsheets/d/1Yj_ptqi66GCucihVvJfMjLAmec39IyEx_6qawtMGysU/edit?usp=sharing"",""สบก!O44"")"),853500)</f>
        <v>853500</v>
      </c>
      <c r="M49" s="625">
        <f ca="1">L49</f>
        <v>853500</v>
      </c>
      <c r="N49" s="622">
        <f ca="1">IFERROR(__xludf.DUMMYFUNCTION("IMPORTRANGE(""https://docs.google.com/spreadsheets/d/1Yj_ptqi66GCucihVvJfMjLAmec39IyEx_6qawtMGysU/edit?usp=sharing"",""สบก!S44"")"),853500)</f>
        <v>853500</v>
      </c>
      <c r="O49" s="625">
        <f ca="1">IF(L49&gt;0,N49*100/L49,0)</f>
        <v>100</v>
      </c>
      <c r="P49" s="625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600572</v>
      </c>
      <c r="N53" s="121">
        <f t="shared" ca="1" si="39"/>
        <v>592225.26</v>
      </c>
      <c r="O53" s="120">
        <f t="shared" ref="O53:O55" ca="1" si="40">IF(L53&gt;0,N53*100/L53,0)</f>
        <v>75.693412576687123</v>
      </c>
      <c r="P53" s="120">
        <f t="shared" ref="P53:P55" ca="1" si="41">IF(M53&gt;0,N53*100/M53,0)</f>
        <v>98.610201607800562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600572</v>
      </c>
      <c r="N55" s="121">
        <f t="shared" ca="1" si="43"/>
        <v>592225.26</v>
      </c>
      <c r="O55" s="120">
        <f t="shared" ca="1" si="40"/>
        <v>75.693412576687123</v>
      </c>
      <c r="P55" s="120">
        <f t="shared" ca="1" si="41"/>
        <v>98.610201607800562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622">
        <f ca="1">IFERROR(__xludf.DUMMYFUNCTION("IMPORTRANGE(""https://docs.google.com/spreadsheets/d/1Yj_ptqi66GCucihVvJfMjLAmec39IyEx_6qawtMGysU/edit?usp=sharing"",""สบก!Z44"")"),600572)</f>
        <v>600572</v>
      </c>
      <c r="N57" s="622">
        <f ca="1">IFERROR(__xludf.DUMMYFUNCTION("IMPORTRANGE(""https://docs.google.com/spreadsheets/d/1Yj_ptqi66GCucihVvJfMjLAmec39IyEx_6qawtMGysU/edit?usp=sharing"",""สบก!AA44"")"),592225.26)</f>
        <v>592225.26</v>
      </c>
      <c r="O57" s="623">
        <f ca="1">IF(L57&gt;0,N57*100/L57,0)</f>
        <v>75.693412576687123</v>
      </c>
      <c r="P57" s="623">
        <f ca="1">IF(M57&gt;0,N57*100/M57,0)</f>
        <v>98.610201607800562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IFERROR(__xludf.DUMMYFUNCTION("IMPORTRANGE(""https://docs.google.com/spreadsheets/d/1Yj_ptqi66GCucihVvJfMjLAmec39IyEx_6qawtMGysU/edit?usp=sharing"",""สบก!V44"")"),782400)</f>
        <v>782400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IFERROR(__xludf.DUMMYFUNCTION("IMPORTRANGE(""https://docs.google.com/spreadsheets/d/1Yj_ptqi66GCucihVvJfMjLAmec39IyEx_6qawtMGysU/edit?usp=sharing"",""สบก!W44"")"),0)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IFERROR(__xludf.DUMMYFUNCTION("IMPORTRANGE(""https://docs.google.com/spreadsheets/d/1Yj_ptqi66GCucihVvJfMjLAmec39IyEx_6qawtMGysU/edit?usp=sharing"",""สบก!X44"")"),0)</f>
        <v>0</v>
      </c>
      <c r="M61" s="625"/>
      <c r="N61" s="622">
        <f ca="1">IFERROR(__xludf.DUMMYFUNCTION("IMPORTRANGE(""https://docs.google.com/spreadsheets/d/1Yj_ptqi66GCucihVvJfMjLAmec39IyEx_6qawtMGysU/edit?usp=sharing"",""สบก!AB44"")"),0)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653320</v>
      </c>
      <c r="N66" s="152">
        <f t="shared" ca="1" si="45"/>
        <v>382060.19</v>
      </c>
      <c r="O66" s="151">
        <f t="shared" ref="O66:O68" ca="1" si="46">IF(L66&gt;0,N66*100/L66,0)</f>
        <v>50.731667773204087</v>
      </c>
      <c r="P66" s="151">
        <f t="shared" ref="P66:P68" ca="1" si="47">IF(M66&gt;0,N66*100/M66,0)</f>
        <v>58.479793975387253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653320</v>
      </c>
      <c r="N68" s="157">
        <f t="shared" ca="1" si="49"/>
        <v>382060.19</v>
      </c>
      <c r="O68" s="156">
        <f t="shared" ca="1" si="46"/>
        <v>50.731667773204087</v>
      </c>
      <c r="P68" s="156">
        <f t="shared" ca="1" si="47"/>
        <v>58.479793975387253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753100</v>
      </c>
      <c r="M70" s="626">
        <f ca="1">IFERROR(__xludf.DUMMYFUNCTION("IMPORTRANGE(""https://docs.google.com/spreadsheets/d/1Yj_ptqi66GCucihVvJfMjLAmec39IyEx_6qawtMGysU/edit?usp=sharing"",""สบก!AI44"")"),653320)</f>
        <v>653320</v>
      </c>
      <c r="N70" s="627">
        <f ca="1">IFERROR(__xludf.DUMMYFUNCTION("IMPORTRANGE(""https://docs.google.com/spreadsheets/d/1Yj_ptqi66GCucihVvJfMjLAmec39IyEx_6qawtMGysU/edit?usp=sharing"",""สบก!AJ44"")"),382060.19)</f>
        <v>382060.19</v>
      </c>
      <c r="O70" s="169">
        <f ca="1">IF(L70&gt;0,N70*100/L70,0)</f>
        <v>50.731667773204087</v>
      </c>
      <c r="P70" s="169">
        <f ca="1">IF(M70&gt;0,N70*100/M70,0)</f>
        <v>58.479793975387253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IFERROR(__xludf.DUMMYFUNCTION("IMPORTRANGE(""https://docs.google.com/spreadsheets/d/1Yj_ptqi66GCucihVvJfMjLAmec39IyEx_6qawtMGysU/edit?usp=sharing"",""สบก!AF44"")"),563600)</f>
        <v>563600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IFERROR(__xludf.DUMMYFUNCTION("IMPORTRANGE(""https://docs.google.com/spreadsheets/d/1Yj_ptqi66GCucihVvJfMjLAmec39IyEx_6qawtMGysU/edit?usp=sharing"",""สบก!AG44"")"),0)</f>
        <v>0</v>
      </c>
      <c r="M74" s="625"/>
      <c r="N74" s="622">
        <f ca="1">IFERROR(__xludf.DUMMYFUNCTION("IMPORTRANGE(""https://docs.google.com/spreadsheets/d/1Yj_ptqi66GCucihVvJfMjLAmec39IyEx_6qawtMGysU/edit?usp=sharing"",""สบก!AK44"")"),0)</f>
        <v>0</v>
      </c>
      <c r="O74" s="625">
        <f ca="1">IF(L74&gt;0,N74*100/L74,0)</f>
        <v>0</v>
      </c>
      <c r="P74" s="625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6">
        <f ca="1">IFERROR(__xludf.DUMMYFUNCTION("IMPORTRANGE(""https://docs.google.com/spreadsheets/d/1Yj_ptqi66GCucihVvJfMjLAmec39IyEx_6qawtMGysU/edit?usp=sharing"",""สบก!AR44"")"),0)</f>
        <v>0</v>
      </c>
      <c r="N98" s="627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IFERROR(__xludf.DUMMYFUNCTION("IMPORTRANGE(""https://docs.google.com/spreadsheets/d/1Yj_ptqi66GCucihVvJfMjLAmec39IyEx_6qawtMGysU/edit?usp=sharing"",""สบก!AP44"")"),0)</f>
        <v>0</v>
      </c>
      <c r="M102" s="625"/>
      <c r="N102" s="622">
        <f ca="1">IFERROR(__xludf.DUMMYFUNCTION("IMPORTRANGE(""https://docs.google.com/spreadsheets/d/1Yj_ptqi66GCucihVvJfMjLAmec39IyEx_6qawtMGysU/edit?usp=sharing"",""สบก!AT44"")"),0)</f>
        <v>0</v>
      </c>
      <c r="O102" s="625">
        <f ca="1">IF(L102&gt;0,N102*100/L102,0)</f>
        <v>0</v>
      </c>
      <c r="P102" s="625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60840</v>
      </c>
      <c r="O118" s="151">
        <f t="shared" ref="O118:O120" ca="1" si="59">IF(L118&gt;0,N118*100/L118,0)</f>
        <v>73.799126637554579</v>
      </c>
      <c r="P118" s="151">
        <f t="shared" ref="P118:P120" ca="1" si="60">IF(M118&gt;0,N118*100/M118,0)</f>
        <v>73.799126637554579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60840</v>
      </c>
      <c r="O120" s="156">
        <f t="shared" ca="1" si="59"/>
        <v>73.799126637554579</v>
      </c>
      <c r="P120" s="156">
        <f t="shared" ca="1" si="60"/>
        <v>73.799126637554579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6">
        <f ca="1">IFERROR(__xludf.DUMMYFUNCTION("IMPORTRANGE(""https://docs.google.com/spreadsheets/d/1Yj_ptqi66GCucihVvJfMjLAmec39IyEx_6qawtMGysU/edit?usp=sharing"",""สบก!BA44"")"),82440)</f>
        <v>82440</v>
      </c>
      <c r="N122" s="627">
        <f ca="1">IFERROR(__xludf.DUMMYFUNCTION("IMPORTRANGE(""https://docs.google.com/spreadsheets/d/1Yj_ptqi66GCucihVvJfMjLAmec39IyEx_6qawtMGysU/edit?usp=sharing"",""สบก!BB44"")"),60840)</f>
        <v>60840</v>
      </c>
      <c r="O122" s="169">
        <f ca="1">IF(L122&gt;0,N122*100/L122,0)</f>
        <v>73.799126637554579</v>
      </c>
      <c r="P122" s="169">
        <f ca="1">IF(M122&gt;0,N122*100/M122,0)</f>
        <v>73.799126637554579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IFERROR(__xludf.DUMMYFUNCTION("IMPORTRANGE(""https://docs.google.com/spreadsheets/d/1Yj_ptqi66GCucihVvJfMjLAmec39IyEx_6qawtMGysU/edit?usp=sharing"",""สบก!AX44"")"),82440)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IFERROR(__xludf.DUMMYFUNCTION("IMPORTRANGE(""https://docs.google.com/spreadsheets/d/1Yj_ptqi66GCucihVvJfMjLAmec39IyEx_6qawtMGysU/edit?usp=sharing"",""สบก!AY44"")"),0)</f>
        <v>0</v>
      </c>
      <c r="M126" s="625"/>
      <c r="N126" s="622">
        <f ca="1">IFERROR(__xludf.DUMMYFUNCTION("IMPORTRANGE(""https://docs.google.com/spreadsheets/d/1Yj_ptqi66GCucihVvJfMjLAmec39IyEx_6qawtMGysU/edit?usp=sharing"",""สบก!BC44"")"),0)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98500</v>
      </c>
      <c r="M140" s="152">
        <f t="shared" ca="1" si="64"/>
        <v>70625</v>
      </c>
      <c r="N140" s="152">
        <f t="shared" ca="1" si="64"/>
        <v>68670</v>
      </c>
      <c r="O140" s="151">
        <f t="shared" ref="O140:O142" ca="1" si="65">IF(L140&gt;0,N140*100/L140,0)</f>
        <v>69.71573604060913</v>
      </c>
      <c r="P140" s="151">
        <f t="shared" ref="P140:P142" ca="1" si="66">IF(M140&gt;0,N140*100/M140,0)</f>
        <v>97.231858407079642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98500</v>
      </c>
      <c r="M142" s="157">
        <f t="shared" ca="1" si="68"/>
        <v>70625</v>
      </c>
      <c r="N142" s="157">
        <f t="shared" ca="1" si="68"/>
        <v>68670</v>
      </c>
      <c r="O142" s="156">
        <f t="shared" ca="1" si="65"/>
        <v>69.71573604060913</v>
      </c>
      <c r="P142" s="156">
        <f t="shared" ca="1" si="66"/>
        <v>97.231858407079642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98500</v>
      </c>
      <c r="M144" s="626">
        <f ca="1">IFERROR(__xludf.DUMMYFUNCTION("IMPORTRANGE(""https://docs.google.com/spreadsheets/d/1Yj_ptqi66GCucihVvJfMjLAmec39IyEx_6qawtMGysU/edit?usp=sharing"",""สบก!BJ44"")"),70625)</f>
        <v>70625</v>
      </c>
      <c r="N144" s="627">
        <f ca="1">IFERROR(__xludf.DUMMYFUNCTION("IMPORTRANGE(""https://docs.google.com/spreadsheets/d/1Yj_ptqi66GCucihVvJfMjLAmec39IyEx_6qawtMGysU/edit?usp=sharing"",""สบก!BK44"")"),68670)</f>
        <v>68670</v>
      </c>
      <c r="O144" s="169">
        <f ca="1">IF(L144&gt;0,N144*100/L144,0)</f>
        <v>69.71573604060913</v>
      </c>
      <c r="P144" s="169">
        <f ca="1">IF(M144&gt;0,N144*100/M144,0)</f>
        <v>97.231858407079642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IFERROR(__xludf.DUMMYFUNCTION("IMPORTRANGE(""https://docs.google.com/spreadsheets/d/1Yj_ptqi66GCucihVvJfMjLAmec39IyEx_6qawtMGysU/edit?usp=sharing"",""สบก!BG44"")"),98500)</f>
        <v>98500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IFERROR(__xludf.DUMMYFUNCTION("IMPORTRANGE(""https://docs.google.com/spreadsheets/d/1Yj_ptqi66GCucihVvJfMjLAmec39IyEx_6qawtMGysU/edit?usp=sharing"",""สบก!BH44"")"),0)</f>
        <v>0</v>
      </c>
      <c r="M148" s="625"/>
      <c r="N148" s="622">
        <f ca="1">IFERROR(__xludf.DUMMYFUNCTION("IMPORTRANGE(""https://docs.google.com/spreadsheets/d/1Yj_ptqi66GCucihVvJfMjLAmec39IyEx_6qawtMGysU/edit?usp=sharing"",""สบก!BL44"")"),0)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IFERROR(__xludf.DUMMYFUNCTION("IMPORTRANGE(""https://docs.google.com/spreadsheets/d/1XL5vhW3sbDhbH9Cz0tuDiY8C3ctxq1tqvaCgkFb8cCA/edit?usp=sharing"",""บุรีรัมย์!J84"")"),131)</f>
        <v>131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IFERROR(__xludf.DUMMYFUNCTION("IMPORTRANGE(""https://docs.google.com/spreadsheets/d/1XL5vhW3sbDhbH9Cz0tuDiY8C3ctxq1tqvaCgkFb8cCA/edit?usp=sharing"",""บุรีรัมย์!J85"")"),131)</f>
        <v>131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6">
        <f ca="1">IFERROR(__xludf.DUMMYFUNCTION("IMPORTRANGE(""https://docs.google.com/spreadsheets/d/1Yj_ptqi66GCucihVvJfMjLAmec39IyEx_6qawtMGysU/edit?usp=sharing"",""สบก!BS44"")"),21125)</f>
        <v>21125</v>
      </c>
      <c r="N224" s="627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IFERROR(__xludf.DUMMYFUNCTION("IMPORTRANGE(""https://docs.google.com/spreadsheets/d/1Yj_ptqi66GCucihVvJfMjLAmec39IyEx_6qawtMGysU/edit?usp=sharing"",""สบก!BQ44"")"),0)</f>
        <v>0</v>
      </c>
      <c r="M228" s="625"/>
      <c r="N228" s="622">
        <f ca="1">IFERROR(__xludf.DUMMYFUNCTION("IMPORTRANGE(""https://docs.google.com/spreadsheets/d/1Yj_ptqi66GCucihVvJfMjLAmec39IyEx_6qawtMGysU/edit?usp=sharing"",""สบก!BU44"")"),0)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47500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99.410526315789468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47500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99.410526315789468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6">
        <f ca="1">IFERROR(__xludf.DUMMYFUNCTION("IMPORTRANGE(""https://docs.google.com/spreadsheets/d/1Yj_ptqi66GCucihVvJfMjLAmec39IyEx_6qawtMGysU/edit?usp=sharing"",""สบก!CB44"")"),47500)</f>
        <v>47500</v>
      </c>
      <c r="N254" s="627">
        <f ca="1">IFERROR(__xludf.DUMMYFUNCTION("IMPORTRANGE(""https://docs.google.com/spreadsheets/d/1Yj_ptqi66GCucihVvJfMjLAmec39IyEx_6qawtMGysU/edit?usp=sharing"",""สบก!CC44"")"),47220)</f>
        <v>47220</v>
      </c>
      <c r="O254" s="169">
        <f ca="1">IF(L254&gt;0,N254*100/L254,0)</f>
        <v>53.056179775280896</v>
      </c>
      <c r="P254" s="169">
        <f ca="1">IF(M254&gt;0,N254*100/M254,0)</f>
        <v>99.410526315789468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IFERROR(__xludf.DUMMYFUNCTION("IMPORTRANGE(""https://docs.google.com/spreadsheets/d/1Yj_ptqi66GCucihVvJfMjLAmec39IyEx_6qawtMGysU/edit?usp=sharing"",""สบก!BZ44"")"),0)</f>
        <v>0</v>
      </c>
      <c r="M258" s="625"/>
      <c r="N258" s="622">
        <f ca="1">IFERROR(__xludf.DUMMYFUNCTION("IMPORTRANGE(""https://docs.google.com/spreadsheets/d/1Yj_ptqi66GCucihVvJfMjLAmec39IyEx_6qawtMGysU/edit?usp=sharing"",""สบก!CD44"")"),0)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447600</v>
      </c>
      <c r="M271" s="152">
        <f t="shared" ca="1" si="83"/>
        <v>359600</v>
      </c>
      <c r="N271" s="152">
        <f t="shared" ca="1" si="83"/>
        <v>270480</v>
      </c>
      <c r="O271" s="151">
        <f t="shared" ref="O271:O273" ca="1" si="84">IF(L271&gt;0,N271*100/L271,0)</f>
        <v>60.428954423592494</v>
      </c>
      <c r="P271" s="151">
        <f t="shared" ref="P271:P273" ca="1" si="85">IF(M271&gt;0,N271*100/M271,0)</f>
        <v>75.216907675194662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447600</v>
      </c>
      <c r="M273" s="157">
        <f t="shared" ca="1" si="87"/>
        <v>359600</v>
      </c>
      <c r="N273" s="157">
        <f t="shared" ca="1" si="87"/>
        <v>270480</v>
      </c>
      <c r="O273" s="156">
        <f t="shared" ca="1" si="84"/>
        <v>60.428954423592494</v>
      </c>
      <c r="P273" s="156">
        <f t="shared" ca="1" si="85"/>
        <v>75.216907675194662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447600</v>
      </c>
      <c r="M275" s="626">
        <f ca="1">IFERROR(__xludf.DUMMYFUNCTION("IMPORTRANGE(""https://docs.google.com/spreadsheets/d/1Yj_ptqi66GCucihVvJfMjLAmec39IyEx_6qawtMGysU/edit?usp=sharing"",""สบก!CK44"")"),359600)</f>
        <v>359600</v>
      </c>
      <c r="N275" s="627">
        <f ca="1">IFERROR(__xludf.DUMMYFUNCTION("IMPORTRANGE(""https://docs.google.com/spreadsheets/d/1Yj_ptqi66GCucihVvJfMjLAmec39IyEx_6qawtMGysU/edit?usp=sharing"",""สบก!CL44"")"),270480)</f>
        <v>270480</v>
      </c>
      <c r="O275" s="169">
        <f ca="1">IF(L275&gt;0,N275*100/L275,0)</f>
        <v>60.428954423592494</v>
      </c>
      <c r="P275" s="169">
        <f ca="1">IF(M275&gt;0,N275*100/M275,0)</f>
        <v>75.216907675194662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IFERROR(__xludf.DUMMYFUNCTION("IMPORTRANGE(""https://docs.google.com/spreadsheets/d/1Yj_ptqi66GCucihVvJfMjLAmec39IyEx_6qawtMGysU/edit?usp=sharing"",""สบก!CH44"")"),183600)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IFERROR(__xludf.DUMMYFUNCTION("IMPORTRANGE(""https://docs.google.com/spreadsheets/d/1Yj_ptqi66GCucihVvJfMjLAmec39IyEx_6qawtMGysU/edit?usp=sharing"",""สบก!CI44"")"),0)</f>
        <v>0</v>
      </c>
      <c r="M279" s="625"/>
      <c r="N279" s="622">
        <f ca="1">IFERROR(__xludf.DUMMYFUNCTION("IMPORTRANGE(""https://docs.google.com/spreadsheets/d/1Yj_ptqi66GCucihVvJfMjLAmec39IyEx_6qawtMGysU/edit?usp=sharing"",""สบก!CM44"")"),0)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IFERROR(__xludf.DUMMYFUNCTION("IMPORTRANGE(""https://docs.google.com/spreadsheets/d/1Yj_ptqi66GCucihVvJfMjLAmec39IyEx_6qawtMGysU/edit?usp=sharing"",""สบก!CT44"")"),0)</f>
        <v>0</v>
      </c>
      <c r="N294" s="627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IFERROR(__xludf.DUMMYFUNCTION("IMPORTRANGE(""https://docs.google.com/spreadsheets/d/1Yj_ptqi66GCucihVvJfMjLAmec39IyEx_6qawtMGysU/edit?usp=sharing"",""สบก!CR44"")"),0)</f>
        <v>0</v>
      </c>
      <c r="M298" s="625"/>
      <c r="N298" s="622">
        <f ca="1">IFERROR(__xludf.DUMMYFUNCTION("IMPORTRANGE(""https://docs.google.com/spreadsheets/d/1Yj_ptqi66GCucihVvJfMjLAmec39IyEx_6qawtMGysU/edit?usp=sharing"",""สบก!CV44"")"),0)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IFERROR(__xludf.DUMMYFUNCTION("IMPORTRANGE(""https://docs.google.com/spreadsheets/d/1Yj_ptqi66GCucihVvJfMjLAmec39IyEx_6qawtMGysU/edit?usp=sharing"",""สบก!DC44"")"),0)</f>
        <v>0</v>
      </c>
      <c r="N314" s="627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IFERROR(__xludf.DUMMYFUNCTION("IMPORTRANGE(""https://docs.google.com/spreadsheets/d/1Yj_ptqi66GCucihVvJfMjLAmec39IyEx_6qawtMGysU/edit?usp=sharing"",""สบก!DA44"")"),0)</f>
        <v>0</v>
      </c>
      <c r="M318" s="625"/>
      <c r="N318" s="622">
        <f ca="1">IFERROR(__xludf.DUMMYFUNCTION("IMPORTRANGE(""https://docs.google.com/spreadsheets/d/1Yj_ptqi66GCucihVvJfMjLAmec39IyEx_6qawtMGysU/edit?usp=sharing"",""สบก!DE44"")"),0)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IFERROR(__xludf.DUMMYFUNCTION("IMPORTRANGE(""https://docs.google.com/spreadsheets/d/1XL5vhW3sbDhbH9Cz0tuDiY8C3ctxq1tqvaCgkFb8cCA/edit?usp=sharing"",""บุรีรัมย์!J228"")"),611)</f>
        <v>611</v>
      </c>
      <c r="K328" s="318">
        <f ca="1">IF(I328&gt;0,J328*100/I328,0)</f>
        <v>69.431818181818187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1334080</v>
      </c>
      <c r="N329" s="152">
        <f t="shared" ca="1" si="98"/>
        <v>970586.92</v>
      </c>
      <c r="O329" s="151">
        <f t="shared" ref="O329:O331" ca="1" si="99">IF(L329&gt;0,N329*100/L329,0)</f>
        <v>66.111771677678632</v>
      </c>
      <c r="P329" s="151">
        <f t="shared" ref="P329:P331" ca="1" si="100">IF(M329&gt;0,N329*100/M329,0)</f>
        <v>72.753277164787718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1334080</v>
      </c>
      <c r="N331" s="157">
        <f t="shared" ca="1" si="102"/>
        <v>970586.92</v>
      </c>
      <c r="O331" s="156">
        <f t="shared" ca="1" si="99"/>
        <v>66.111771677678632</v>
      </c>
      <c r="P331" s="156">
        <f t="shared" ca="1" si="100"/>
        <v>72.753277164787718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6">
        <f ca="1">IFERROR(__xludf.DUMMYFUNCTION("IMPORTRANGE(""https://docs.google.com/spreadsheets/d/1Yj_ptqi66GCucihVvJfMjLAmec39IyEx_6qawtMGysU/edit?usp=sharing"",""สบก!DL44"")"),1328680)</f>
        <v>1328680</v>
      </c>
      <c r="N333" s="627">
        <f ca="1">IFERROR(__xludf.DUMMYFUNCTION("IMPORTRANGE(""https://docs.google.com/spreadsheets/d/1Yj_ptqi66GCucihVvJfMjLAmec39IyEx_6qawtMGysU/edit?usp=sharing"",""สบก!DM44"")"),965186.92)</f>
        <v>965186.92</v>
      </c>
      <c r="O333" s="169">
        <f ca="1">IF(L333&gt;0,N333*100/L333,0)</f>
        <v>65.986663020441654</v>
      </c>
      <c r="P333" s="169">
        <f ca="1">IF(M333&gt;0,N333*100/M333,0)</f>
        <v>72.642541469729352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IFERROR(__xludf.DUMMYFUNCTION("IMPORTRANGE(""https://docs.google.com/spreadsheets/d/1Yj_ptqi66GCucihVvJfMjLAmec39IyEx_6qawtMGysU/edit?usp=sharing"",""สบก!DJ44"")"),5400)</f>
        <v>5400</v>
      </c>
      <c r="M337" s="625">
        <f ca="1">L337</f>
        <v>5400</v>
      </c>
      <c r="N337" s="622">
        <f ca="1">IFERROR(__xludf.DUMMYFUNCTION("IMPORTRANGE(""https://docs.google.com/spreadsheets/d/1Yj_ptqi66GCucihVvJfMjLAmec39IyEx_6qawtMGysU/edit?usp=sharing"",""สบก!DN44"")"),5400)</f>
        <v>5400</v>
      </c>
      <c r="O337" s="625">
        <f ca="1">IF(L337&gt;0,N337*100/L337,0)</f>
        <v>100</v>
      </c>
      <c r="P337" s="625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IFERROR(__xludf.DUMMYFUNCTION("IMPORTRANGE(""https://docs.google.com/spreadsheets/d/1XL5vhW3sbDhbH9Cz0tuDiY8C3ctxq1tqvaCgkFb8cCA/edit?usp=sharing"",""บุรีรัมย์!J234"")"),899)</f>
        <v>899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IFERROR(__xludf.DUMMYFUNCTION("IMPORTRANGE(""https://docs.google.com/spreadsheets/d/1XL5vhW3sbDhbH9Cz0tuDiY8C3ctxq1tqvaCgkFb8cCA/edit?usp=sharing"",""บุรีรัมย์!J235"")"),5539.62)</f>
        <v>5539.62</v>
      </c>
      <c r="K340" s="343">
        <f t="shared" ca="1" si="103"/>
        <v>72.889736842105265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IFERROR(__xludf.DUMMYFUNCTION("IMPORTRANGE(""https://docs.google.com/spreadsheets/d/1XL5vhW3sbDhbH9Cz0tuDiY8C3ctxq1tqvaCgkFb8cCA/edit?usp=sharing"",""บุรีรัมย์!J236"")"),682)</f>
        <v>682</v>
      </c>
      <c r="K341" s="343">
        <f t="shared" ca="1" si="103"/>
        <v>77.5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IFERROR(__xludf.DUMMYFUNCTION("IMPORTRANGE(""https://docs.google.com/spreadsheets/d/1XL5vhW3sbDhbH9Cz0tuDiY8C3ctxq1tqvaCgkFb8cCA/edit?usp=sharing"",""บุรีรัมย์!J237"")"),4644.82)</f>
        <v>4644.82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IFERROR(__xludf.DUMMYFUNCTION("IMPORTRANGE(""https://docs.google.com/spreadsheets/d/1XL5vhW3sbDhbH9Cz0tuDiY8C3ctxq1tqvaCgkFb8cCA/edit?usp=sharing"",""บุรีรัมย์!J238"")"),132)</f>
        <v>132</v>
      </c>
      <c r="K343" s="343">
        <f t="shared" ca="1" si="103"/>
        <v>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IFERROR(__xludf.DUMMYFUNCTION("IMPORTRANGE(""https://docs.google.com/spreadsheets/d/1XL5vhW3sbDhbH9Cz0tuDiY8C3ctxq1tqvaCgkFb8cCA/edit?usp=sharing"",""บุรีรัมย์!J239"")"),954.5)</f>
        <v>954.5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IFERROR(__xludf.DUMMYFUNCTION("IMPORTRANGE(""https://docs.google.com/spreadsheets/d/1XL5vhW3sbDhbH9Cz0tuDiY8C3ctxq1tqvaCgkFb8cCA/edit?usp=sharing"",""บุรีรัมย์!J240"")"),611)</f>
        <v>611</v>
      </c>
      <c r="K345" s="343">
        <f t="shared" ca="1" si="103"/>
        <v>69.431818181818187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IFERROR(__xludf.DUMMYFUNCTION("IMPORTRANGE(""https://docs.google.com/spreadsheets/d/1XL5vhW3sbDhbH9Cz0tuDiY8C3ctxq1tqvaCgkFb8cCA/edit?usp=sharing"",""บุรีรัมย์!J241"")"),4131.12)</f>
        <v>4131.12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IFERROR(__xludf.DUMMYFUNCTION("IMPORTRANGE(""https://docs.google.com/spreadsheets/d/1XL5vhW3sbDhbH9Cz0tuDiY8C3ctxq1tqvaCgkFb8cCA/edit?usp=sharing"",""บุรีรัมย์!L242"")"),3914497)</f>
        <v>3914497</v>
      </c>
      <c r="M347" s="358"/>
      <c r="N347" s="358">
        <f ca="1">IFERROR(__xludf.DUMMYFUNCTION("IMPORTRANGE(""https://docs.google.com/spreadsheets/d/1XL5vhW3sbDhbH9Cz0tuDiY8C3ctxq1tqvaCgkFb8cCA/edit?usp=sharing"",""บุรีรัมย์!M242"")"),667946.51)</f>
        <v>667946.51</v>
      </c>
      <c r="O347" s="358">
        <f ca="1">+IF(L347&gt;0,N347*100/L347,0)</f>
        <v>17.063405847545674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IFERROR(__xludf.DUMMYFUNCTION("IMPORTRANGE(""https://docs.google.com/spreadsheets/d/1XL5vhW3sbDhbH9Cz0tuDiY8C3ctxq1tqvaCgkFb8cCA/edit?usp=sharing"",""บุรีรัมย์!M244"")"),106759.989999999)</f>
        <v>106759.989999999</v>
      </c>
      <c r="O349" s="373">
        <f ca="1">+IF(L349&gt;0,N349*100/L349,0)</f>
        <v>13.179757539844079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IFERROR(__xludf.DUMMYFUNCTION("IMPORTRANGE(""https://docs.google.com/spreadsheets/d/1XL5vhW3sbDhbH9Cz0tuDiY8C3ctxq1tqvaCgkFb8cCA/edit?usp=sharing"",""บุรีรัมย์!M247"")"),106759.989999999)</f>
        <v>106759.989999999</v>
      </c>
      <c r="O352" s="165">
        <f t="shared" ca="1" si="105"/>
        <v>13.179757539844079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IFERROR(__xludf.DUMMYFUNCTION("IMPORTRANGE(""https://docs.google.com/spreadsheets/d/1XL5vhW3sbDhbH9Cz0tuDiY8C3ctxq1tqvaCgkFb8cCA/edit?usp=sharing"",""บุรีรัมย์!M249"")"),106759.989999999)</f>
        <v>106759.989999999</v>
      </c>
      <c r="O354" s="169">
        <f t="shared" ca="1" si="105"/>
        <v>13.179757539844079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IFERROR(__xludf.DUMMYFUNCTION("IMPORTRANGE(""https://docs.google.com/spreadsheets/d/1XL5vhW3sbDhbH9Cz0tuDiY8C3ctxq1tqvaCgkFb8cCA/edit?usp=sharing"",""บุรีรัมย์!M250"")"),12920)</f>
        <v>12920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IFERROR(__xludf.DUMMYFUNCTION("IMPORTRANGE(""https://docs.google.com/spreadsheets/d/1XL5vhW3sbDhbH9Cz0tuDiY8C3ctxq1tqvaCgkFb8cCA/edit?usp=sharing"",""บุรีรัมย์!M252"")"),64899.99)</f>
        <v>64899.99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IFERROR(__xludf.DUMMYFUNCTION("IMPORTRANGE(""https://docs.google.com/spreadsheets/d/1XL5vhW3sbDhbH9Cz0tuDiY8C3ctxq1tqvaCgkFb8cCA/edit?usp=sharing"",""บุรีรัมย์!M253"")"),28940)</f>
        <v>28940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IFERROR(__xludf.DUMMYFUNCTION("IMPORTRANGE(""https://docs.google.com/spreadsheets/d/1XL5vhW3sbDhbH9Cz0tuDiY8C3ctxq1tqvaCgkFb8cCA/edit?usp=sharing"",""บุรีรัมย์!M275"")"),131048.31)</f>
        <v>131048.31</v>
      </c>
      <c r="O380" s="373">
        <f ca="1">+IF(L380&gt;0,N380*100/L380,0)</f>
        <v>12.741444988916113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IFERROR(__xludf.DUMMYFUNCTION("IMPORTRANGE(""https://docs.google.com/spreadsheets/d/1XL5vhW3sbDhbH9Cz0tuDiY8C3ctxq1tqvaCgkFb8cCA/edit?usp=sharing"",""บุรีรัมย์!M278"")"),131048.31)</f>
        <v>131048.31</v>
      </c>
      <c r="O383" s="165">
        <f t="shared" ca="1" si="109"/>
        <v>12.741444988916113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IFERROR(__xludf.DUMMYFUNCTION("IMPORTRANGE(""https://docs.google.com/spreadsheets/d/1XL5vhW3sbDhbH9Cz0tuDiY8C3ctxq1tqvaCgkFb8cCA/edit?usp=sharing"",""บุรีรัมย์!M280"")"),131048.31)</f>
        <v>131048.31</v>
      </c>
      <c r="O385" s="169">
        <f t="shared" ca="1" si="109"/>
        <v>12.741444988916113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IFERROR(__xludf.DUMMYFUNCTION("IMPORTRANGE(""https://docs.google.com/spreadsheets/d/1XL5vhW3sbDhbH9Cz0tuDiY8C3ctxq1tqvaCgkFb8cCA/edit?usp=sharing"",""บุรีรัมย์!M281"")"),42225)</f>
        <v>42225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IFERROR(__xludf.DUMMYFUNCTION("IMPORTRANGE(""https://docs.google.com/spreadsheets/d/1XL5vhW3sbDhbH9Cz0tuDiY8C3ctxq1tqvaCgkFb8cCA/edit?usp=sharing"",""บุรีรัมย์!M283"")"),63433.31)</f>
        <v>63433.31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IFERROR(__xludf.DUMMYFUNCTION("IMPORTRANGE(""https://docs.google.com/spreadsheets/d/1XL5vhW3sbDhbH9Cz0tuDiY8C3ctxq1tqvaCgkFb8cCA/edit?usp=sharing"",""บุรีรัมย์!M284"")"),25390)</f>
        <v>25390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IFERROR(__xludf.DUMMYFUNCTION("IMPORTRANGE(""https://docs.google.com/spreadsheets/d/1XL5vhW3sbDhbH9Cz0tuDiY8C3ctxq1tqvaCgkFb8cCA/edit?usp=sharing"",""บุรีรัมย์!M296"")"),94305)</f>
        <v>94305</v>
      </c>
      <c r="O401" s="373">
        <f ca="1">+IF(L401&gt;0,N401*100/L401,0)</f>
        <v>40.989698787325594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IFERROR(__xludf.DUMMYFUNCTION("IMPORTRANGE(""https://docs.google.com/spreadsheets/d/1XL5vhW3sbDhbH9Cz0tuDiY8C3ctxq1tqvaCgkFb8cCA/edit?usp=sharing"",""บุรีรัมย์!M299"")"),94305)</f>
        <v>94305</v>
      </c>
      <c r="O404" s="169">
        <f t="shared" ca="1" si="112"/>
        <v>40.989698787325594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IFERROR(__xludf.DUMMYFUNCTION("IMPORTRANGE(""https://docs.google.com/spreadsheets/d/1XL5vhW3sbDhbH9Cz0tuDiY8C3ctxq1tqvaCgkFb8cCA/edit?usp=sharing"",""บุรีรัมย์!M301"")"),94305)</f>
        <v>94305</v>
      </c>
      <c r="O406" s="169">
        <f t="shared" ca="1" si="112"/>
        <v>40.989698787325594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IFERROR(__xludf.DUMMYFUNCTION("IMPORTRANGE(""https://docs.google.com/spreadsheets/d/1XL5vhW3sbDhbH9Cz0tuDiY8C3ctxq1tqvaCgkFb8cCA/edit?usp=sharing"",""บุรีรัมย์!M302"")"),86535)</f>
        <v>86535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IFERROR(__xludf.DUMMYFUNCTION("IMPORTRANGE(""https://docs.google.com/spreadsheets/d/1XL5vhW3sbDhbH9Cz0tuDiY8C3ctxq1tqvaCgkFb8cCA/edit?usp=sharing"",""บุรีรัมย์!M305"")"),7770)</f>
        <v>7770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IFERROR(__xludf.DUMMYFUNCTION("IMPORTRANGE(""https://docs.google.com/spreadsheets/d/1XL5vhW3sbDhbH9Cz0tuDiY8C3ctxq1tqvaCgkFb8cCA/edit?usp=sharing"",""บุรีรัมย์!M330"")"),68755.6)</f>
        <v>68755.600000000006</v>
      </c>
      <c r="O435" s="412">
        <f t="shared" ref="O435:O439" ca="1" si="114">+IF(L435&gt;0,N435*100/L435,0)</f>
        <v>58.267457627118652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IFERROR(__xludf.DUMMYFUNCTION("IMPORTRANGE(""https://docs.google.com/spreadsheets/d/1XL5vhW3sbDhbH9Cz0tuDiY8C3ctxq1tqvaCgkFb8cCA/edit?usp=sharing"",""บุรีรัมย์!M332"")"),68755.6)</f>
        <v>68755.600000000006</v>
      </c>
      <c r="O437" s="169">
        <f t="shared" ca="1" si="114"/>
        <v>58.267457627118652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IFERROR(__xludf.DUMMYFUNCTION("IMPORTRANGE(""https://docs.google.com/spreadsheets/d/1XL5vhW3sbDhbH9Cz0tuDiY8C3ctxq1tqvaCgkFb8cCA/edit?usp=sharing"",""บุรีรัมย์!M334"")"),68755.6)</f>
        <v>68755.600000000006</v>
      </c>
      <c r="O439" s="169">
        <f t="shared" ca="1" si="114"/>
        <v>58.267457627118652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IFERROR(__xludf.DUMMYFUNCTION("IMPORTRANGE(""https://docs.google.com/spreadsheets/d/1XL5vhW3sbDhbH9Cz0tuDiY8C3ctxq1tqvaCgkFb8cCA/edit?usp=sharing"",""บุรีรัมย์!M335"")"),32615.6)</f>
        <v>32615.599999999999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IFERROR(__xludf.DUMMYFUNCTION("IMPORTRANGE(""https://docs.google.com/spreadsheets/d/1XL5vhW3sbDhbH9Cz0tuDiY8C3ctxq1tqvaCgkFb8cCA/edit?usp=sharing"",""บุรีรัมย์!M338"")"),36140)</f>
        <v>36140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IFERROR(__xludf.DUMMYFUNCTION("IMPORTRANGE(""https://docs.google.com/spreadsheets/d/1XL5vhW3sbDhbH9Cz0tuDiY8C3ctxq1tqvaCgkFb8cCA/edit?usp=sharing"",""บุรีรัมย์!L350"")"),1348197)</f>
        <v>1348197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IFERROR(__xludf.DUMMYFUNCTION("IMPORTRANGE(""https://docs.google.com/spreadsheets/d/1XL5vhW3sbDhbH9Cz0tuDiY8C3ctxq1tqvaCgkFb8cCA/edit?usp=sharing"",""บุรีรัมย์!M350"")"),161277.07)</f>
        <v>161277.07</v>
      </c>
      <c r="O455" s="373">
        <f t="shared" ref="O455:O459" ca="1" si="116">+IF(L455&gt;0,N455*100/L455,0)</f>
        <v>11.962426114284485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IFERROR(__xludf.DUMMYFUNCTION("IMPORTRANGE(""https://docs.google.com/spreadsheets/d/1XL5vhW3sbDhbH9Cz0tuDiY8C3ctxq1tqvaCgkFb8cCA/edit?usp=sharing"",""บุรีรัมย์!L352"")"),1348197)</f>
        <v>1348197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IFERROR(__xludf.DUMMYFUNCTION("IMPORTRANGE(""https://docs.google.com/spreadsheets/d/1XL5vhW3sbDhbH9Cz0tuDiY8C3ctxq1tqvaCgkFb8cCA/edit?usp=sharing"",""บุรีรัมย์!M352"")"),161277.07)</f>
        <v>161277.07</v>
      </c>
      <c r="O457" s="169">
        <f t="shared" ca="1" si="116"/>
        <v>11.962426114284485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IFERROR(__xludf.DUMMYFUNCTION("IMPORTRANGE(""https://docs.google.com/spreadsheets/d/1XL5vhW3sbDhbH9Cz0tuDiY8C3ctxq1tqvaCgkFb8cCA/edit?usp=sharing"",""บุรีรัมย์!L354"")"),1348197)</f>
        <v>1348197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IFERROR(__xludf.DUMMYFUNCTION("IMPORTRANGE(""https://docs.google.com/spreadsheets/d/1XL5vhW3sbDhbH9Cz0tuDiY8C3ctxq1tqvaCgkFb8cCA/edit?usp=sharing"",""บุรีรัมย์!M354"")"),161277.07)</f>
        <v>161277.07</v>
      </c>
      <c r="O459" s="169">
        <f t="shared" ca="1" si="116"/>
        <v>11.962426114284485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IFERROR(__xludf.DUMMYFUNCTION("IMPORTRANGE(""https://docs.google.com/spreadsheets/d/1XL5vhW3sbDhbH9Cz0tuDiY8C3ctxq1tqvaCgkFb8cCA/edit?usp=sharing"",""บุรีรัมย์!M357"")"),62833.32)</f>
        <v>62833.32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IFERROR(__xludf.DUMMYFUNCTION("IMPORTRANGE(""https://docs.google.com/spreadsheets/d/1XL5vhW3sbDhbH9Cz0tuDiY8C3ctxq1tqvaCgkFb8cCA/edit?usp=sharing"",""บุรีรัมย์!M358"")"),98443.75)</f>
        <v>98443.75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IFERROR(__xludf.DUMMYFUNCTION("IMPORTRANGE(""https://docs.google.com/spreadsheets/d/1XL5vhW3sbDhbH9Cz0tuDiY8C3ctxq1tqvaCgkFb8cCA/edit?usp=sharing"",""บุรีรัมย์!M430"")"),20300)</f>
        <v>20300</v>
      </c>
      <c r="O535" s="169">
        <f t="shared" ca="1" si="118"/>
        <v>59.114735002912056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IFERROR(__xludf.DUMMYFUNCTION("IMPORTRANGE(""https://docs.google.com/spreadsheets/d/1XL5vhW3sbDhbH9Cz0tuDiY8C3ctxq1tqvaCgkFb8cCA/edit?usp=sharing"",""บุรีรัมย์!M432"")"),20300)</f>
        <v>20300</v>
      </c>
      <c r="O537" s="169">
        <f t="shared" ca="1" si="118"/>
        <v>59.114735002912056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IFERROR(__xludf.DUMMYFUNCTION("IMPORTRANGE(""https://docs.google.com/spreadsheets/d/1XL5vhW3sbDhbH9Cz0tuDiY8C3ctxq1tqvaCgkFb8cCA/edit?usp=sharing"",""บุรีรัมย์!M433"")"),13000)</f>
        <v>13000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IFERROR(__xludf.DUMMYFUNCTION("IMPORTRANGE(""https://docs.google.com/spreadsheets/d/1XL5vhW3sbDhbH9Cz0tuDiY8C3ctxq1tqvaCgkFb8cCA/edit?usp=sharing"",""บุรีรัมย์!M436"")"),7300)</f>
        <v>7300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IFERROR(__xludf.DUMMYFUNCTION("IMPORTRANGE(""https://docs.google.com/spreadsheets/d/1XL5vhW3sbDhbH9Cz0tuDiY8C3ctxq1tqvaCgkFb8cCA/edit?usp=sharing"",""บุรีรัมย์!J459"")"),10230)</f>
        <v>10230</v>
      </c>
      <c r="K564" s="372">
        <f ca="1">IF(I564&gt;0,J564*100/I564,0)</f>
        <v>208.77551020408163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IFERROR(__xludf.DUMMYFUNCTION("IMPORTRANGE(""https://docs.google.com/spreadsheets/d/1XL5vhW3sbDhbH9Cz0tuDiY8C3ctxq1tqvaCgkFb8cCA/edit?usp=sharing"",""บุรีรัมย์!M459"")"),68340.54)</f>
        <v>68340.539999999994</v>
      </c>
      <c r="O564" s="373">
        <f t="shared" ref="O564:O568" ca="1" si="122">+IF(L564&gt;0,N564*100/L564,0)</f>
        <v>41.168999999999997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IFERROR(__xludf.DUMMYFUNCTION("IMPORTRANGE(""https://docs.google.com/spreadsheets/d/1XL5vhW3sbDhbH9Cz0tuDiY8C3ctxq1tqvaCgkFb8cCA/edit?usp=sharing"",""บุรีรัมย์!M461"")"),68340.54)</f>
        <v>68340.539999999994</v>
      </c>
      <c r="O566" s="169">
        <f t="shared" ca="1" si="122"/>
        <v>41.168999999999997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IFERROR(__xludf.DUMMYFUNCTION("IMPORTRANGE(""https://docs.google.com/spreadsheets/d/1XL5vhW3sbDhbH9Cz0tuDiY8C3ctxq1tqvaCgkFb8cCA/edit?usp=sharing"",""บุรีรัมย์!M463"")"),68340.54)</f>
        <v>68340.539999999994</v>
      </c>
      <c r="O568" s="169">
        <f t="shared" ca="1" si="122"/>
        <v>41.168999999999997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IFERROR(__xludf.DUMMYFUNCTION("IMPORTRANGE(""https://docs.google.com/spreadsheets/d/1XL5vhW3sbDhbH9Cz0tuDiY8C3ctxq1tqvaCgkFb8cCA/edit?usp=sharing"",""บุรีรัมย์!M466"")"),63066.54)</f>
        <v>63066.54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IFERROR(__xludf.DUMMYFUNCTION("IMPORTRANGE(""https://docs.google.com/spreadsheets/d/1XL5vhW3sbDhbH9Cz0tuDiY8C3ctxq1tqvaCgkFb8cCA/edit?usp=sharing"",""บุรีรัมย์!J468"")"),10230)</f>
        <v>10230</v>
      </c>
      <c r="K573" s="202">
        <f ca="1">IF(I573&gt;0,J573*100/I573,0)</f>
        <v>208.77551020408163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IFERROR(__xludf.DUMMYFUNCTION("IMPORTRANGE(""https://docs.google.com/spreadsheets/d/1XL5vhW3sbDhbH9Cz0tuDiY8C3ctxq1tqvaCgkFb8cCA/edit?usp=sharing"",""บุรีรัมย์!J472"")"),10109)</f>
        <v>10109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IFERROR(__xludf.DUMMYFUNCTION("IMPORTRANGE(""https://docs.google.com/spreadsheets/d/1XL5vhW3sbDhbH9Cz0tuDiY8C3ctxq1tqvaCgkFb8cCA/edit?usp=sharing"",""บุรีรัมย์!M475"")"),15360)</f>
        <v>15360</v>
      </c>
      <c r="O580" s="373">
        <f t="shared" ref="O580:O584" ca="1" si="124">+IF(L580&gt;0,N580*100/L580,0)</f>
        <v>8.9281562427342482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IFERROR(__xludf.DUMMYFUNCTION("IMPORTRANGE(""https://docs.google.com/spreadsheets/d/1XL5vhW3sbDhbH9Cz0tuDiY8C3ctxq1tqvaCgkFb8cCA/edit?usp=sharing"",""บุรีรัมย์!L477"")"),172040)</f>
        <v>172040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IFERROR(__xludf.DUMMYFUNCTION("IMPORTRANGE(""https://docs.google.com/spreadsheets/d/1XL5vhW3sbDhbH9Cz0tuDiY8C3ctxq1tqvaCgkFb8cCA/edit?usp=sharing"",""บุรีรัมย์!M477"")"),15360)</f>
        <v>15360</v>
      </c>
      <c r="O582" s="169">
        <f t="shared" ca="1" si="124"/>
        <v>8.9281562427342482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IFERROR(__xludf.DUMMYFUNCTION("IMPORTRANGE(""https://docs.google.com/spreadsheets/d/1XL5vhW3sbDhbH9Cz0tuDiY8C3ctxq1tqvaCgkFb8cCA/edit?usp=sharing"",""บุรีรัมย์!L479"")"),172040)</f>
        <v>172040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IFERROR(__xludf.DUMMYFUNCTION("IMPORTRANGE(""https://docs.google.com/spreadsheets/d/1XL5vhW3sbDhbH9Cz0tuDiY8C3ctxq1tqvaCgkFb8cCA/edit?usp=sharing"",""บุรีรัมย์!M479"")"),15360)</f>
        <v>15360</v>
      </c>
      <c r="O584" s="169">
        <f t="shared" ca="1" si="124"/>
        <v>8.9281562427342482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IFERROR(__xludf.DUMMYFUNCTION("IMPORTRANGE(""https://docs.google.com/spreadsheets/d/1XL5vhW3sbDhbH9Cz0tuDiY8C3ctxq1tqvaCgkFb8cCA/edit?usp=sharing"",""บุรีรัมย์!M483"")"),15360)</f>
        <v>15360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IFERROR(__xludf.DUMMYFUNCTION("IMPORTRANGE(""https://docs.google.com/spreadsheets/d/1XL5vhW3sbDhbH9Cz0tuDiY8C3ctxq1tqvaCgkFb8cCA/edit?usp=sharing"",""บุรีรัมย์!J484"")"),55)</f>
        <v>55</v>
      </c>
      <c r="K589" s="163">
        <f t="shared" ref="K589:K596" ca="1" si="125">IF(I589&gt;0,J589*100/I589,0)</f>
        <v>137.5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IFERROR(__xludf.DUMMYFUNCTION("IMPORTRANGE(""https://docs.google.com/spreadsheets/d/1XL5vhW3sbDhbH9Cz0tuDiY8C3ctxq1tqvaCgkFb8cCA/edit?usp=sharing"",""บุรีรัมย์!J485"")"),24.76)</f>
        <v>24.76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24.657534246575342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IFERROR(__xludf.DUMMYFUNCTION("IMPORTRANGE(""https://docs.google.com/spreadsheets/d/1XL5vhW3sbDhbH9Cz0tuDiY8C3ctxq1tqvaCgkFb8cCA/edit?usp=sharing"",""บุรีรัมย์!L494"")"),7300)</f>
        <v>7300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24.657534246575342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IFERROR(__xludf.DUMMYFUNCTION("IMPORTRANGE(""https://docs.google.com/spreadsheets/d/1XL5vhW3sbDhbH9Cz0tuDiY8C3ctxq1tqvaCgkFb8cCA/edit?usp=sharing"",""บุรีรัมย์!L496"")"),7300)</f>
        <v>7300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24.657534246575342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IFERROR(__xludf.DUMMYFUNCTION("IMPORTRANGE(""https://docs.google.com/spreadsheets/d/1XL5vhW3sbDhbH9Cz0tuDiY8C3ctxq1tqvaCgkFb8cCA/edit?usp=sharing"",""บุรีรัมย์!J166"")"),0)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IFERROR(__xludf.DUMMYFUNCTION("IMPORTRANGE(""https://docs.google.com/spreadsheets/d/1XL5vhW3sbDhbH9Cz0tuDiY8C3ctxq1tqvaCgkFb8cCA/edit?usp=sharing"",""บุรีรัมย์!J166"")"),0)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IFERROR(__xludf.DUMMYFUNCTION("IMPORTRANGE(""https://docs.google.com/spreadsheets/d/1XL5vhW3sbDhbH9Cz0tuDiY8C3ctxq1tqvaCgkFb8cCA/edit?usp=sharing"",""บุรีรัมย์!J507"")"),57)</f>
        <v>57</v>
      </c>
      <c r="K612" s="163">
        <f t="shared" ca="1" si="127"/>
        <v>57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IFERROR(__xludf.DUMMYFUNCTION("IMPORTRANGE(""https://docs.google.com/spreadsheets/d/1XL5vhW3sbDhbH9Cz0tuDiY8C3ctxq1tqvaCgkFb8cCA/edit?usp=sharing"",""บุรีรัมย์!J508"")"),57)</f>
        <v>57</v>
      </c>
      <c r="K613" s="163">
        <f t="shared" ca="1" si="127"/>
        <v>57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IFERROR(__xludf.DUMMYFUNCTION("IMPORTRANGE(""https://docs.google.com/spreadsheets/d/1XL5vhW3sbDhbH9Cz0tuDiY8C3ctxq1tqvaCgkFb8cCA/edit?usp=sharing"",""บุรีรัมย์!J509"")"),57)</f>
        <v>57</v>
      </c>
      <c r="K614" s="163">
        <f t="shared" ca="1" si="127"/>
        <v>57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IFERROR(__xludf.DUMMYFUNCTION("IMPORTRANGE(""https://docs.google.com/spreadsheets/d/1XL5vhW3sbDhbH9Cz0tuDiY8C3ctxq1tqvaCgkFb8cCA/edit?usp=sharing"",""บุรีรัมย์!J510"")"),57)</f>
        <v>57</v>
      </c>
      <c r="K615" s="163">
        <f t="shared" ca="1" si="127"/>
        <v>57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IFERROR(__xludf.DUMMYFUNCTION("IMPORTRANGE(""https://docs.google.com/spreadsheets/d/1XL5vhW3sbDhbH9Cz0tuDiY8C3ctxq1tqvaCgkFb8cCA/edit?usp=sharing"",""บุรีรัมย์!J523"")"),1414203.48)</f>
        <v>1414203.48</v>
      </c>
      <c r="K628" s="343">
        <f t="shared" ref="K628:K635" ca="1" si="129">IF(I628&gt;0,J628*100/I628,0)</f>
        <v>49.145347413902911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IFERROR(__xludf.DUMMYFUNCTION("IMPORTRANGE(""https://docs.google.com/spreadsheets/d/1XL5vhW3sbDhbH9Cz0tuDiY8C3ctxq1tqvaCgkFb8cCA/edit?usp=sharing"",""บุรีรัมย์!J524"")"),116)</f>
        <v>116</v>
      </c>
      <c r="K629" s="343">
        <f t="shared" ca="1" si="129"/>
        <v>44.787644787644787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IFERROR(__xludf.DUMMYFUNCTION("IMPORTRANGE(""https://docs.google.com/spreadsheets/d/1XL5vhW3sbDhbH9Cz0tuDiY8C3ctxq1tqvaCgkFb8cCA/edit?usp=sharing"",""บุรีรัมย์!J525"")"),2179123.13)</f>
        <v>2179123.13</v>
      </c>
      <c r="K630" s="343">
        <f t="shared" ca="1" si="129"/>
        <v>40.345431843515037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IFERROR(__xludf.DUMMYFUNCTION("IMPORTRANGE(""https://docs.google.com/spreadsheets/d/1XL5vhW3sbDhbH9Cz0tuDiY8C3ctxq1tqvaCgkFb8cCA/edit?usp=sharing"",""บุรีรัมย์!J526"")"),172)</f>
        <v>172</v>
      </c>
      <c r="K631" s="343">
        <f t="shared" ca="1" si="129"/>
        <v>68.8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IFERROR(__xludf.DUMMYFUNCTION("IMPORTRANGE(""https://docs.google.com/spreadsheets/d/1XL5vhW3sbDhbH9Cz0tuDiY8C3ctxq1tqvaCgkFb8cCA/edit?usp=sharing"",""บุรีรัมย์!J527"")"),1005711.99)</f>
        <v>1005711.99</v>
      </c>
      <c r="K632" s="343">
        <f t="shared" ca="1" si="129"/>
        <v>34.152392365580262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IFERROR(__xludf.DUMMYFUNCTION("IMPORTRANGE(""https://docs.google.com/spreadsheets/d/1XL5vhW3sbDhbH9Cz0tuDiY8C3ctxq1tqvaCgkFb8cCA/edit?usp=sharing"",""บุรีรัมย์!J528"")"),216)</f>
        <v>216</v>
      </c>
      <c r="K633" s="343">
        <f t="shared" ca="1" si="129"/>
        <v>92.70386266094421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IFERROR(__xludf.DUMMYFUNCTION("IMPORTRANGE(""https://docs.google.com/spreadsheets/d/1XL5vhW3sbDhbH9Cz0tuDiY8C3ctxq1tqvaCgkFb8cCA/edit?usp=sharing"",""บุรีรัมย์!J529"")"),2020000)</f>
        <v>2020000</v>
      </c>
      <c r="K634" s="343">
        <f t="shared" ca="1" si="129"/>
        <v>67.333333333333329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IFERROR(__xludf.DUMMYFUNCTION("IMPORTRANGE(""https://docs.google.com/spreadsheets/d/1XL5vhW3sbDhbH9Cz0tuDiY8C3ctxq1tqvaCgkFb8cCA/edit?usp=sharing"",""บุรีรัมย์!J530"")"),64)</f>
        <v>64</v>
      </c>
      <c r="K635" s="486">
        <f t="shared" ca="1" si="129"/>
        <v>75.294117647058826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3635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3635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3635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IFERROR(__xludf.DUMMYFUNCTION("IMPORTRANGE(""https://docs.google.com/spreadsheets/d/1XL5vhW3sbDhbH9Cz0tuDiY8C3ctxq1tqvaCgkFb8cCA/edit#gid=346597447"",""บุรีรัมย์!J541"")"),0)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IFERROR(__xludf.DUMMYFUNCTION("IMPORTRANGE(""https://docs.google.com/spreadsheets/d/1XL5vhW3sbDhbH9Cz0tuDiY8C3ctxq1tqvaCgkFb8cCA/edit#gid=346597447"",""บุรีรัมย์!J542"")"),0)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IFERROR(__xludf.DUMMYFUNCTION("IMPORTRANGE(""https://docs.google.com/spreadsheets/d/1XL5vhW3sbDhbH9Cz0tuDiY8C3ctxq1tqvaCgkFb8cCA/edit#gid=346597447"",""บุรีรัมย์!I543"")"),0)</f>
        <v>0</v>
      </c>
      <c r="J648" s="585">
        <f ca="1">IFERROR(__xludf.DUMMYFUNCTION("IMPORTRANGE(""https://docs.google.com/spreadsheets/d/1XL5vhW3sbDhbH9Cz0tuDiY8C3ctxq1tqvaCgkFb8cCA/edit#gid=346597447"",""บุรีรัมย์!J543"")"),0)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IFERROR(__xludf.DUMMYFUNCTION("IMPORTRANGE(""https://docs.google.com/spreadsheets/d/1XL5vhW3sbDhbH9Cz0tuDiY8C3ctxq1tqvaCgkFb8cCA/edit#gid=346597447"",""บุรีรัมย์!L543"")"),0)</f>
        <v>0</v>
      </c>
      <c r="M648" s="570"/>
      <c r="N648" s="587">
        <f ca="1">IFERROR(__xludf.DUMMYFUNCTION("IMPORTRANGE(""https://docs.google.com/spreadsheets/d/1XL5vhW3sbDhbH9Cz0tuDiY8C3ctxq1tqvaCgkFb8cCA/edit#gid=346597447"",""บุรีรัมย์!M543"")"),0)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IFERROR(__xludf.DUMMYFUNCTION("IMPORTRANGE(""https://docs.google.com/spreadsheets/d/1XL5vhW3sbDhbH9Cz0tuDiY8C3ctxq1tqvaCgkFb8cCA/edit#gid=346597447"",""บุรีรัมย์!I544"")"),1)</f>
        <v>1</v>
      </c>
      <c r="J649" s="585">
        <f ca="1">IFERROR(__xludf.DUMMYFUNCTION("IMPORTRANGE(""https://docs.google.com/spreadsheets/d/1XL5vhW3sbDhbH9Cz0tuDiY8C3ctxq1tqvaCgkFb8cCA/edit#gid=346597447"",""บุรีรัมย์!J544"")"),0)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IFERROR(__xludf.DUMMYFUNCTION("IMPORTRANGE(""https://docs.google.com/spreadsheets/d/1XL5vhW3sbDhbH9Cz0tuDiY8C3ctxq1tqvaCgkFb8cCA/edit#gid=346597447"",""บุรีรัมย์!L544"")"),120)</f>
        <v>120</v>
      </c>
      <c r="M649" s="570"/>
      <c r="N649" s="587">
        <f ca="1">IFERROR(__xludf.DUMMYFUNCTION("IMPORTRANGE(""https://docs.google.com/spreadsheets/d/1XL5vhW3sbDhbH9Cz0tuDiY8C3ctxq1tqvaCgkFb8cCA/edit#gid=346597447"",""บุรีรัมย์!M544"")"),0)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IFERROR(__xludf.DUMMYFUNCTION("IMPORTRANGE(""https://docs.google.com/spreadsheets/d/1XL5vhW3sbDhbH9Cz0tuDiY8C3ctxq1tqvaCgkFb8cCA/edit#gid=346597447"",""บุรีรัมย์!I545"")"),10)</f>
        <v>10</v>
      </c>
      <c r="J650" s="585">
        <f ca="1">IFERROR(__xludf.DUMMYFUNCTION("IMPORTRANGE(""https://docs.google.com/spreadsheets/d/1XL5vhW3sbDhbH9Cz0tuDiY8C3ctxq1tqvaCgkFb8cCA/edit#gid=346597447"",""บุรีรัมย์!J545"")"),0)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IFERROR(__xludf.DUMMYFUNCTION("IMPORTRANGE(""https://docs.google.com/spreadsheets/d/1XL5vhW3sbDhbH9Cz0tuDiY8C3ctxq1tqvaCgkFb8cCA/edit#gid=346597447"",""บุรีรัมย์!L545"")"),50)</f>
        <v>50</v>
      </c>
      <c r="M650" s="570"/>
      <c r="N650" s="587">
        <f ca="1">IFERROR(__xludf.DUMMYFUNCTION("IMPORTRANGE(""https://docs.google.com/spreadsheets/d/1XL5vhW3sbDhbH9Cz0tuDiY8C3ctxq1tqvaCgkFb8cCA/edit#gid=346597447"",""บุรีรัมย์!M545"")"),0)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IFERROR(__xludf.DUMMYFUNCTION("IMPORTRANGE(""https://docs.google.com/spreadsheets/d/1XL5vhW3sbDhbH9Cz0tuDiY8C3ctxq1tqvaCgkFb8cCA/edit#gid=346597447"",""บุรีรัมย์!I546"")"),129)</f>
        <v>129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IFERROR(__xludf.DUMMYFUNCTION("IMPORTRANGE(""https://docs.google.com/spreadsheets/d/1XL5vhW3sbDhbH9Cz0tuDiY8C3ctxq1tqvaCgkFb8cCA/edit#gid=346597447"",""บุรีรัมย์!L546"")"),3225)</f>
        <v>3225</v>
      </c>
      <c r="M651" s="570"/>
      <c r="N651" s="587">
        <f ca="1">IFERROR(__xludf.DUMMYFUNCTION("IMPORTRANGE(""https://docs.google.com/spreadsheets/d/1XL5vhW3sbDhbH9Cz0tuDiY8C3ctxq1tqvaCgkFb8cCA/edit#gid=346597447"",""บุรีรัมย์!M546"")"),0)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IFERROR(__xludf.DUMMYFUNCTION("IMPORTRANGE(""https://docs.google.com/spreadsheets/d/1XL5vhW3sbDhbH9Cz0tuDiY8C3ctxq1tqvaCgkFb8cCA/edit#gid=346597447"",""บุรีรัมย์!J547"")"),0)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IFERROR(__xludf.DUMMYFUNCTION("IMPORTRANGE(""https://docs.google.com/spreadsheets/d/1XL5vhW3sbDhbH9Cz0tuDiY8C3ctxq1tqvaCgkFb8cCA/edit#gid=346597447"",""บุรีรัมย์!J548"")"),0)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IFERROR(__xludf.DUMMYFUNCTION("IMPORTRANGE(""https://docs.google.com/spreadsheets/d/1XL5vhW3sbDhbH9Cz0tuDiY8C3ctxq1tqvaCgkFb8cCA/edit#gid=346597447"",""บุรีรัมย์!J550"")"),0)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IFERROR(__xludf.DUMMYFUNCTION("IMPORTRANGE(""https://docs.google.com/spreadsheets/d/1XL5vhW3sbDhbH9Cz0tuDiY8C3ctxq1tqvaCgkFb8cCA/edit#gid=346597447"",""บุรีรัมย์!J551"")"),0)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IFERROR(__xludf.DUMMYFUNCTION("IMPORTRANGE(""https://docs.google.com/spreadsheets/d/1XL5vhW3sbDhbH9Cz0tuDiY8C3ctxq1tqvaCgkFb8cCA/edit#gid=346597447"",""บุรีรัมย์!J552"")"),0)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IFERROR(__xludf.DUMMYFUNCTION("IMPORTRANGE(""https://docs.google.com/spreadsheets/d/1XL5vhW3sbDhbH9Cz0tuDiY8C3ctxq1tqvaCgkFb8cCA/edit#gid=346597447"",""บุรีรัมย์!J553"")"),0)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IFERROR(__xludf.DUMMYFUNCTION("IMPORTRANGE(""https://docs.google.com/spreadsheets/d/1XL5vhW3sbDhbH9Cz0tuDiY8C3ctxq1tqvaCgkFb8cCA/edit#gid=346597447"",""บุรีรัมย์!J554"")"),0)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IFERROR(__xludf.DUMMYFUNCTION("IMPORTRANGE(""https://docs.google.com/spreadsheets/d/1XL5vhW3sbDhbH9Cz0tuDiY8C3ctxq1tqvaCgkFb8cCA/edit#gid=346597447"",""บุรีรัมย์!J555"")"),0)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IFERROR(__xludf.DUMMYFUNCTION("IMPORTRANGE(""https://docs.google.com/spreadsheets/d/1XL5vhW3sbDhbH9Cz0tuDiY8C3ctxq1tqvaCgkFb8cCA/edit#gid=346597447"",""บุรีรัมย์!J556"")"),0)</f>
        <v>0</v>
      </c>
      <c r="K661" s="586"/>
      <c r="L661" s="571">
        <f ca="1">IFERROR(__xludf.DUMMYFUNCTION("IMPORTRANGE(""https://docs.google.com/spreadsheets/d/1XL5vhW3sbDhbH9Cz0tuDiY8C3ctxq1tqvaCgkFb8cCA/edit#gid=346597447"",""บุรีรัมย์!L556"")"),0)</f>
        <v>0</v>
      </c>
      <c r="M661" s="570"/>
      <c r="N661" s="587">
        <f ca="1">IFERROR(__xludf.DUMMYFUNCTION("IMPORTRANGE(""https://docs.google.com/spreadsheets/d/1XL5vhW3sbDhbH9Cz0tuDiY8C3ctxq1tqvaCgkFb8cCA/edit#gid=346597447"",""บุรีรัมย์!M556"")"),0)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IFERROR(__xludf.DUMMYFUNCTION("IMPORTRANGE(""https://docs.google.com/spreadsheets/d/1XL5vhW3sbDhbH9Cz0tuDiY8C3ctxq1tqvaCgkFb8cCA/edit#gid=346597447"",""บุรีรัมย์!J557"")"),0)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IFERROR(__xludf.DUMMYFUNCTION("IMPORTRANGE(""https://docs.google.com/spreadsheets/d/1XL5vhW3sbDhbH9Cz0tuDiY8C3ctxq1tqvaCgkFb8cCA/edit#gid=346597447"",""บุรีรัมย์!I558"")"),0)</f>
        <v>0</v>
      </c>
      <c r="J663" s="585">
        <f ca="1">IFERROR(__xludf.DUMMYFUNCTION("IMPORTRANGE(""https://docs.google.com/spreadsheets/d/1XL5vhW3sbDhbH9Cz0tuDiY8C3ctxq1tqvaCgkFb8cCA/edit#gid=346597447"",""บุรีรัมย์!J558"")"),0)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IFERROR(__xludf.DUMMYFUNCTION("IMPORTRANGE(""https://docs.google.com/spreadsheets/d/1XL5vhW3sbDhbH9Cz0tuDiY8C3ctxq1tqvaCgkFb8cCA/edit#gid=346597447"",""บุรีรัมย์!I560"")"),2)</f>
        <v>2</v>
      </c>
      <c r="J665" s="585">
        <f ca="1">IFERROR(__xludf.DUMMYFUNCTION("IMPORTRANGE(""https://docs.google.com/spreadsheets/d/1XL5vhW3sbDhbH9Cz0tuDiY8C3ctxq1tqvaCgkFb8cCA/edit#gid=346597447"",""บุรีรัมย์!J560"")"),0)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IFERROR(__xludf.DUMMYFUNCTION("IMPORTRANGE(""https://docs.google.com/spreadsheets/d/1XL5vhW3sbDhbH9Cz0tuDiY8C3ctxq1tqvaCgkFb8cCA/edit#gid=346597447"",""บุรีรัมย์!L560"")"),240)</f>
        <v>240</v>
      </c>
      <c r="M665" s="570"/>
      <c r="N665" s="587">
        <f ca="1">IFERROR(__xludf.DUMMYFUNCTION("IMPORTRANGE(""https://docs.google.com/spreadsheets/d/1XL5vhW3sbDhbH9Cz0tuDiY8C3ctxq1tqvaCgkFb8cCA/edit#gid=346597447"",""บุรีรัมย์!M560"")"),0)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IFERROR(__xludf.DUMMYFUNCTION("IMPORTRANGE(""https://docs.google.com/spreadsheets/d/1XL5vhW3sbDhbH9Cz0tuDiY8C3ctxq1tqvaCgkFb8cCA/edit#gid=346597447"",""บุรีรัมย์!J561"")"),0)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IFERROR(__xludf.DUMMYFUNCTION("IMPORTRANGE(""https://docs.google.com/spreadsheets/d/1XL5vhW3sbDhbH9Cz0tuDiY8C3ctxq1tqvaCgkFb8cCA/edit#gid=346597447"",""บุรีรัมย์!J562"")"),0)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IFERROR(__xludf.DUMMYFUNCTION("IMPORTRANGE(""https://docs.google.com/spreadsheets/d/1XL5vhW3sbDhbH9Cz0tuDiY8C3ctxq1tqvaCgkFb8cCA/edit#gid=346597447"",""บุรีรัมย์!I563"")"),0)</f>
        <v>0</v>
      </c>
      <c r="J668" s="585">
        <f ca="1">IFERROR(__xludf.DUMMYFUNCTION("IMPORTRANGE(""https://docs.google.com/spreadsheets/d/1XL5vhW3sbDhbH9Cz0tuDiY8C3ctxq1tqvaCgkFb8cCA/edit#gid=346597447"",""บุรีรัมย์!J563"")"),0)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IFERROR(__xludf.DUMMYFUNCTION("IMPORTRANGE(""https://docs.google.com/spreadsheets/d/1XL5vhW3sbDhbH9Cz0tuDiY8C3ctxq1tqvaCgkFb8cCA/edit#gid=346597447"",""บุรีรัมย์!L563"")"),0)</f>
        <v>0</v>
      </c>
      <c r="M668" s="570"/>
      <c r="N668" s="587">
        <f ca="1">IFERROR(__xludf.DUMMYFUNCTION("IMPORTRANGE(""https://docs.google.com/spreadsheets/d/1XL5vhW3sbDhbH9Cz0tuDiY8C3ctxq1tqvaCgkFb8cCA/edit#gid=346597447"",""บุรีรัมย์!M563"")"),0)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IFERROR(__xludf.DUMMYFUNCTION("IMPORTRANGE(""https://docs.google.com/spreadsheets/d/1XL5vhW3sbDhbH9Cz0tuDiY8C3ctxq1tqvaCgkFb8cCA/edit#gid=346597447"",""บุรีรัมย์!J564"")"),0)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IFERROR(__xludf.DUMMYFUNCTION("IMPORTRANGE(""https://docs.google.com/spreadsheets/d/1XL5vhW3sbDhbH9Cz0tuDiY8C3ctxq1tqvaCgkFb8cCA/edit#gid=346597447"",""บุรีรัมย์!J565"")"),0)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IFERROR(__xludf.DUMMYFUNCTION("IMPORTRANGE(""https://docs.google.com/spreadsheets/d/1XL5vhW3sbDhbH9Cz0tuDiY8C3ctxq1tqvaCgkFb8cCA/edit#gid=346597447"",""บุรีรัมย์!I566"")"),0)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IFERROR(__xludf.DUMMYFUNCTION("IMPORTRANGE(""https://docs.google.com/spreadsheets/d/1XL5vhW3sbDhbH9Cz0tuDiY8C3ctxq1tqvaCgkFb8cCA/edit#gid=346597447"",""บุรีรัมย์!L566"")"),0)</f>
        <v>0</v>
      </c>
      <c r="M671" s="570"/>
      <c r="N671" s="587">
        <f ca="1">IFERROR(__xludf.DUMMYFUNCTION("IMPORTRANGE(""https://docs.google.com/spreadsheets/d/1XL5vhW3sbDhbH9Cz0tuDiY8C3ctxq1tqvaCgkFb8cCA/edit#gid=346597447"",""บุรีรัมย์!M566"")"),0)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IFERROR(__xludf.DUMMYFUNCTION("IMPORTRANGE(""https://docs.google.com/spreadsheets/d/1XL5vhW3sbDhbH9Cz0tuDiY8C3ctxq1tqvaCgkFb8cCA/edit#gid=346597447"",""บุรีรัมย์!J567"")"),0)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IFERROR(__xludf.DUMMYFUNCTION("IMPORTRANGE(""https://docs.google.com/spreadsheets/d/1XL5vhW3sbDhbH9Cz0tuDiY8C3ctxq1tqvaCgkFb8cCA/edit#gid=346597447"",""บุรีรัมย์!J568"")"),0)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IFERROR(__xludf.DUMMYFUNCTION("IMPORTRANGE(""https://docs.google.com/spreadsheets/d/1XL5vhW3sbDhbH9Cz0tuDiY8C3ctxq1tqvaCgkFb8cCA/edit#gid=346597447"",""บุรีรัมย์!J569"")"),0)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IFERROR(__xludf.DUMMYFUNCTION("IMPORTRANGE(""https://docs.google.com/spreadsheets/d/1XL5vhW3sbDhbH9Cz0tuDiY8C3ctxq1tqvaCgkFb8cCA/edit#gid=346597447"",""บุรีรัมย์!J570"")"),0)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IFERROR(__xludf.DUMMYFUNCTION("IMPORTRANGE(""https://docs.google.com/spreadsheets/d/1XL5vhW3sbDhbH9Cz0tuDiY8C3ctxq1tqvaCgkFb8cCA/edit#gid=346597447"",""บุรีรัมย์!J571"")"),0)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IFERROR(__xludf.DUMMYFUNCTION("IMPORTRANGE(""https://docs.google.com/spreadsheets/d/1XL5vhW3sbDhbH9Cz0tuDiY8C3ctxq1tqvaCgkFb8cCA/edit#gid=346597447"",""บุรีรัมย์!J572"")"),0)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2.85546875" customWidth="1"/>
    <col min="8" max="8" width="10.85546875" customWidth="1"/>
    <col min="9" max="10" width="15.85546875" customWidth="1"/>
    <col min="11" max="11" width="11.28515625" bestFit="1" customWidth="1"/>
    <col min="12" max="14" width="18.7109375" bestFit="1" customWidth="1"/>
    <col min="15" max="15" width="19.7109375" bestFit="1" customWidth="1"/>
    <col min="16" max="16" width="21.42578125" bestFit="1" customWidth="1"/>
  </cols>
  <sheetData>
    <row r="1" spans="1:16" ht="18" customHeight="1" x14ac:dyDescent="0.25">
      <c r="A1" s="666" t="s">
        <v>0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666"/>
      <c r="O1" s="666"/>
      <c r="P1" s="666"/>
    </row>
    <row r="2" spans="1:16" ht="18" customHeight="1" x14ac:dyDescent="0.25">
      <c r="A2" s="666" t="s">
        <v>274</v>
      </c>
      <c r="B2" s="666"/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" customHeight="1" x14ac:dyDescent="0.25">
      <c r="A3" s="666" t="s">
        <v>300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2" t="s">
        <v>2</v>
      </c>
      <c r="B5" s="661"/>
      <c r="C5" s="661"/>
      <c r="D5" s="661"/>
      <c r="E5" s="661"/>
      <c r="F5" s="661"/>
      <c r="G5" s="662"/>
      <c r="H5" s="681" t="s">
        <v>3</v>
      </c>
      <c r="I5" s="655" t="s">
        <v>4</v>
      </c>
      <c r="J5" s="656"/>
      <c r="K5" s="657"/>
      <c r="L5" s="658" t="s">
        <v>5</v>
      </c>
      <c r="M5" s="657"/>
      <c r="N5" s="659" t="s">
        <v>6</v>
      </c>
      <c r="O5" s="656"/>
      <c r="P5" s="657"/>
    </row>
    <row r="6" spans="1:16" ht="21.75" customHeight="1" x14ac:dyDescent="0.25">
      <c r="A6" s="663"/>
      <c r="B6" s="664"/>
      <c r="C6" s="664"/>
      <c r="D6" s="664"/>
      <c r="E6" s="664"/>
      <c r="F6" s="664"/>
      <c r="G6" s="665"/>
      <c r="H6" s="65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3" t="s">
        <v>15</v>
      </c>
      <c r="B7" s="656"/>
      <c r="C7" s="656"/>
      <c r="D7" s="656"/>
      <c r="E7" s="656"/>
      <c r="F7" s="656"/>
      <c r="G7" s="657"/>
      <c r="H7" s="601"/>
      <c r="I7" s="602"/>
      <c r="J7" s="602"/>
      <c r="K7" s="603"/>
      <c r="L7" s="604"/>
      <c r="M7" s="603"/>
      <c r="N7" s="604"/>
      <c r="O7" s="605"/>
      <c r="P7" s="605"/>
    </row>
    <row r="8" spans="1:16" ht="21.75" customHeight="1" x14ac:dyDescent="0.3">
      <c r="A8" s="17"/>
      <c r="B8" s="18"/>
      <c r="C8" s="19" t="s">
        <v>16</v>
      </c>
      <c r="D8" s="668" t="s">
        <v>17</v>
      </c>
      <c r="E8" s="643"/>
      <c r="F8" s="643"/>
      <c r="G8" s="643"/>
      <c r="H8" s="20" t="s">
        <v>12</v>
      </c>
      <c r="I8" s="21"/>
      <c r="J8" s="21"/>
      <c r="K8" s="22"/>
      <c r="L8" s="23">
        <f t="shared" ref="L8:N8" ca="1" si="0">L9+L10</f>
        <v>5625277</v>
      </c>
      <c r="M8" s="23">
        <f t="shared" ca="1" si="0"/>
        <v>2616864</v>
      </c>
      <c r="N8" s="23">
        <f t="shared" ca="1" si="0"/>
        <v>2955126.5999999992</v>
      </c>
      <c r="O8" s="22">
        <f t="shared" ref="O8:O16" ca="1" si="1">IF(L8&gt;0,N8*100/L8,0)</f>
        <v>52.532997041745666</v>
      </c>
      <c r="P8" s="22">
        <f t="shared" ref="P8:P16" ca="1" si="2">IF(M8&gt;0,N8*100/M8,0)</f>
        <v>112.92625830001099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5625277</v>
      </c>
      <c r="M10" s="30">
        <f t="shared" ca="1" si="4"/>
        <v>2616864</v>
      </c>
      <c r="N10" s="30">
        <f t="shared" ca="1" si="4"/>
        <v>2955126.5999999992</v>
      </c>
      <c r="O10" s="29">
        <f t="shared" ca="1" si="1"/>
        <v>52.532997041745666</v>
      </c>
      <c r="P10" s="29">
        <f t="shared" ca="1" si="2"/>
        <v>112.92625830001099</v>
      </c>
    </row>
    <row r="11" spans="1:16" ht="21.75" customHeight="1" x14ac:dyDescent="0.3">
      <c r="A11" s="31"/>
      <c r="B11" s="32"/>
      <c r="C11" s="33" t="s">
        <v>16</v>
      </c>
      <c r="D11" s="669" t="s">
        <v>20</v>
      </c>
      <c r="E11" s="641"/>
      <c r="F11" s="641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5487877</v>
      </c>
      <c r="M12" s="38">
        <f t="shared" ca="1" si="6"/>
        <v>2479464</v>
      </c>
      <c r="N12" s="38">
        <f t="shared" ca="1" si="6"/>
        <v>2817726.5999999992</v>
      </c>
      <c r="O12" s="38">
        <f t="shared" ca="1" si="1"/>
        <v>51.344565484977146</v>
      </c>
      <c r="P12" s="38">
        <f t="shared" ca="1" si="2"/>
        <v>113.64256952309044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3712377</v>
      </c>
      <c r="M14" s="38">
        <f t="shared" si="8"/>
        <v>0</v>
      </c>
      <c r="N14" s="38">
        <f t="shared" ca="1" si="8"/>
        <v>732154.10999999894</v>
      </c>
      <c r="O14" s="38">
        <f t="shared" ca="1" si="1"/>
        <v>19.721976243253284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69" t="s">
        <v>23</v>
      </c>
      <c r="E15" s="641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3" t="s">
        <v>24</v>
      </c>
      <c r="B17" s="656"/>
      <c r="C17" s="656"/>
      <c r="D17" s="656"/>
      <c r="E17" s="656"/>
      <c r="F17" s="656"/>
      <c r="G17" s="657"/>
      <c r="H17" s="601"/>
      <c r="I17" s="602"/>
      <c r="J17" s="602"/>
      <c r="K17" s="603"/>
      <c r="L17" s="604"/>
      <c r="M17" s="603"/>
      <c r="N17" s="604"/>
      <c r="O17" s="605"/>
      <c r="P17" s="605"/>
    </row>
    <row r="18" spans="1:16" ht="21.75" customHeight="1" x14ac:dyDescent="0.3">
      <c r="A18" s="17"/>
      <c r="B18" s="18"/>
      <c r="C18" s="19" t="s">
        <v>16</v>
      </c>
      <c r="D18" s="668" t="s">
        <v>17</v>
      </c>
      <c r="E18" s="643"/>
      <c r="F18" s="643"/>
      <c r="G18" s="643"/>
      <c r="H18" s="20" t="s">
        <v>12</v>
      </c>
      <c r="I18" s="21"/>
      <c r="J18" s="21"/>
      <c r="K18" s="22"/>
      <c r="L18" s="23">
        <f t="shared" ref="L18:N18" ca="1" si="11">L19+L20</f>
        <v>3259820</v>
      </c>
      <c r="M18" s="23">
        <f t="shared" ca="1" si="11"/>
        <v>2616864</v>
      </c>
      <c r="N18" s="23">
        <f t="shared" ca="1" si="11"/>
        <v>2222972.4900000002</v>
      </c>
      <c r="O18" s="22">
        <f t="shared" ref="O18:O20" ca="1" si="12">IF(L18&gt;0,N18*100/L18,0)</f>
        <v>68.193105447540063</v>
      </c>
      <c r="P18" s="22">
        <f t="shared" ref="P18:P26" ca="1" si="13">IF(M18&gt;0,N18*100/M18,0)</f>
        <v>84.94795640889248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3259820</v>
      </c>
      <c r="M20" s="30">
        <f t="shared" ca="1" si="15"/>
        <v>2616864</v>
      </c>
      <c r="N20" s="30">
        <f t="shared" ca="1" si="15"/>
        <v>2222972.4900000002</v>
      </c>
      <c r="O20" s="29">
        <f t="shared" ca="1" si="12"/>
        <v>68.193105447540063</v>
      </c>
      <c r="P20" s="29">
        <f t="shared" ca="1" si="13"/>
        <v>84.94795640889248</v>
      </c>
    </row>
    <row r="21" spans="1:16" ht="21.75" customHeight="1" x14ac:dyDescent="0.3">
      <c r="A21" s="31"/>
      <c r="B21" s="32"/>
      <c r="C21" s="33" t="s">
        <v>16</v>
      </c>
      <c r="D21" s="669" t="s">
        <v>20</v>
      </c>
      <c r="E21" s="641"/>
      <c r="F21" s="641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3122420</v>
      </c>
      <c r="M22" s="41">
        <f t="shared" ca="1" si="18"/>
        <v>2479464</v>
      </c>
      <c r="N22" s="38">
        <f t="shared" ca="1" si="18"/>
        <v>2085572.4900000002</v>
      </c>
      <c r="O22" s="38">
        <f t="shared" ca="1" si="17"/>
        <v>66.793464364179073</v>
      </c>
      <c r="P22" s="38">
        <f t="shared" ca="1" si="13"/>
        <v>84.113844363136565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1346920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69" t="s">
        <v>23</v>
      </c>
      <c r="E25" s="641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3" t="s">
        <v>25</v>
      </c>
      <c r="B27" s="656"/>
      <c r="C27" s="656"/>
      <c r="D27" s="656"/>
      <c r="E27" s="656"/>
      <c r="F27" s="656"/>
      <c r="G27" s="657"/>
      <c r="H27" s="601"/>
      <c r="I27" s="602"/>
      <c r="J27" s="602"/>
      <c r="K27" s="603"/>
      <c r="L27" s="604"/>
      <c r="M27" s="603"/>
      <c r="N27" s="604"/>
      <c r="O27" s="605"/>
      <c r="P27" s="605"/>
    </row>
    <row r="28" spans="1:16" ht="21.75" customHeight="1" x14ac:dyDescent="0.3">
      <c r="A28" s="17"/>
      <c r="B28" s="18"/>
      <c r="C28" s="19" t="s">
        <v>16</v>
      </c>
      <c r="D28" s="668" t="s">
        <v>17</v>
      </c>
      <c r="E28" s="643"/>
      <c r="F28" s="643"/>
      <c r="G28" s="643"/>
      <c r="H28" s="20" t="s">
        <v>12</v>
      </c>
      <c r="I28" s="21"/>
      <c r="J28" s="21"/>
      <c r="K28" s="22"/>
      <c r="L28" s="23">
        <f t="shared" ref="L28:N28" ca="1" si="23">L29+L30</f>
        <v>2365457</v>
      </c>
      <c r="M28" s="23">
        <f t="shared" si="23"/>
        <v>0</v>
      </c>
      <c r="N28" s="23">
        <f t="shared" ca="1" si="23"/>
        <v>732154.10999999894</v>
      </c>
      <c r="O28" s="22">
        <f t="shared" ref="O28:O30" ca="1" si="24">IF(L28&gt;0,N28*100/L28,0)</f>
        <v>30.951909504167649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2365457</v>
      </c>
      <c r="M30" s="30">
        <f t="shared" si="27"/>
        <v>0</v>
      </c>
      <c r="N30" s="30">
        <f t="shared" ca="1" si="27"/>
        <v>732154.10999999894</v>
      </c>
      <c r="O30" s="29">
        <f t="shared" ca="1" si="24"/>
        <v>30.951909504167649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69" t="s">
        <v>20</v>
      </c>
      <c r="E31" s="641"/>
      <c r="F31" s="641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2365457</v>
      </c>
      <c r="M32" s="38">
        <f t="shared" si="30"/>
        <v>0</v>
      </c>
      <c r="N32" s="38">
        <f t="shared" ca="1" si="30"/>
        <v>732154.10999999894</v>
      </c>
      <c r="O32" s="38">
        <f t="shared" ca="1" si="29"/>
        <v>30.951909504167649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2365457</v>
      </c>
      <c r="M34" s="38">
        <f t="shared" si="32"/>
        <v>0</v>
      </c>
      <c r="N34" s="38">
        <f t="shared" ca="1" si="32"/>
        <v>732154.10999999894</v>
      </c>
      <c r="O34" s="38">
        <f t="shared" ca="1" si="29"/>
        <v>30.951909504167649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69" t="s">
        <v>23</v>
      </c>
      <c r="E35" s="641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3259820</v>
      </c>
      <c r="M37" s="54">
        <f t="shared" ca="1" si="33"/>
        <v>2616864</v>
      </c>
      <c r="N37" s="54">
        <f t="shared" ca="1" si="33"/>
        <v>2222972.4900000002</v>
      </c>
      <c r="O37" s="55">
        <f t="shared" ca="1" si="29"/>
        <v>68.193105447540063</v>
      </c>
      <c r="P37" s="55">
        <f t="shared" ca="1" si="25"/>
        <v>84.94795640889248</v>
      </c>
    </row>
    <row r="38" spans="1:16" ht="21.75" customHeight="1" x14ac:dyDescent="0.3">
      <c r="A38" s="684" t="s">
        <v>27</v>
      </c>
      <c r="B38" s="656"/>
      <c r="C38" s="656"/>
      <c r="D38" s="656"/>
      <c r="E38" s="656"/>
      <c r="F38" s="656"/>
      <c r="G38" s="657"/>
      <c r="H38" s="606"/>
      <c r="I38" s="607"/>
      <c r="J38" s="607"/>
      <c r="K38" s="608"/>
      <c r="L38" s="609"/>
      <c r="M38" s="609"/>
      <c r="N38" s="609"/>
      <c r="O38" s="609"/>
      <c r="P38" s="609"/>
    </row>
    <row r="39" spans="1:16" ht="21.75" customHeight="1" x14ac:dyDescent="0.3">
      <c r="A39" s="610"/>
      <c r="B39" s="685" t="s">
        <v>28</v>
      </c>
      <c r="C39" s="643"/>
      <c r="D39" s="643"/>
      <c r="E39" s="643"/>
      <c r="F39" s="643"/>
      <c r="G39" s="643"/>
      <c r="H39" s="611"/>
      <c r="I39" s="612"/>
      <c r="J39" s="612"/>
      <c r="K39" s="613"/>
      <c r="L39" s="614"/>
      <c r="M39" s="614"/>
      <c r="N39" s="614"/>
      <c r="O39" s="613"/>
      <c r="P39" s="613"/>
    </row>
    <row r="40" spans="1:16" ht="21.75" customHeight="1" x14ac:dyDescent="0.3">
      <c r="A40" s="615"/>
      <c r="B40" s="616" t="s">
        <v>29</v>
      </c>
      <c r="C40" s="617"/>
      <c r="D40" s="617"/>
      <c r="E40" s="617"/>
      <c r="F40" s="617"/>
      <c r="G40" s="617"/>
      <c r="H40" s="618"/>
      <c r="I40" s="619"/>
      <c r="J40" s="619"/>
      <c r="K40" s="620"/>
      <c r="L40" s="621"/>
      <c r="M40" s="621"/>
      <c r="N40" s="621"/>
      <c r="O40" s="620"/>
      <c r="P40" s="620"/>
    </row>
    <row r="41" spans="1:16" ht="21.75" customHeight="1" x14ac:dyDescent="0.3">
      <c r="A41" s="72"/>
      <c r="B41" s="73"/>
      <c r="C41" s="74" t="s">
        <v>16</v>
      </c>
      <c r="D41" s="672" t="s">
        <v>17</v>
      </c>
      <c r="E41" s="641"/>
      <c r="F41" s="641"/>
      <c r="G41" s="641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507200</v>
      </c>
      <c r="N41" s="78">
        <f t="shared" ca="1" si="34"/>
        <v>430196.82</v>
      </c>
      <c r="O41" s="77">
        <f t="shared" ref="O41:O43" ca="1" si="35">IF(L41&gt;0,N41*100/L41,0)</f>
        <v>63.610353393464436</v>
      </c>
      <c r="P41" s="77">
        <f t="shared" ref="P41:P43" ca="1" si="36">IF(M41&gt;0,N41*100/M41,0)</f>
        <v>84.817985015772877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507200</v>
      </c>
      <c r="N43" s="78">
        <f t="shared" ca="1" si="38"/>
        <v>430196.82</v>
      </c>
      <c r="O43" s="77">
        <f t="shared" ca="1" si="35"/>
        <v>63.610353393464436</v>
      </c>
      <c r="P43" s="77">
        <f t="shared" ca="1" si="36"/>
        <v>84.817985015772877</v>
      </c>
    </row>
    <row r="44" spans="1:16" ht="21.75" customHeight="1" x14ac:dyDescent="0.3">
      <c r="A44" s="79"/>
      <c r="B44" s="80"/>
      <c r="C44" s="81" t="s">
        <v>16</v>
      </c>
      <c r="D44" s="640" t="s">
        <v>20</v>
      </c>
      <c r="E44" s="641"/>
      <c r="F44" s="641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2">
        <f ca="1">IFERROR(__xludf.DUMMYFUNCTION("IMPORTRANGE(""https://docs.google.com/spreadsheets/d/1Yj_ptqi66GCucihVvJfMjLAmec39IyEx_6qawtMGysU/edit?usp=sharing"",""สบก!Q45"")"),507200)</f>
        <v>507200</v>
      </c>
      <c r="N45" s="622">
        <f ca="1">IFERROR(__xludf.DUMMYFUNCTION("IMPORTRANGE(""https://docs.google.com/spreadsheets/d/1Yj_ptqi66GCucihVvJfMjLAmec39IyEx_6qawtMGysU/edit?usp=sharing"",""สบก!R45"")"),430196.82)</f>
        <v>430196.82</v>
      </c>
      <c r="O45" s="623">
        <f ca="1">IF(L45&gt;0,N45*100/L45,0)</f>
        <v>63.610353393464436</v>
      </c>
      <c r="P45" s="623">
        <f ca="1">IF(M45&gt;0,N45*100/M45,0)</f>
        <v>84.817985015772877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2">
        <f ca="1">IFERROR(__xludf.DUMMYFUNCTION("IMPORTRANGE(""https://docs.google.com/spreadsheets/d/1Yj_ptqi66GCucihVvJfMjLAmec39IyEx_6qawtMGysU/edit?usp=sharing"",""สบก!M45"")"),676300)</f>
        <v>676300</v>
      </c>
      <c r="M46" s="624"/>
      <c r="N46" s="38"/>
      <c r="O46" s="623"/>
      <c r="P46" s="623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2">
        <f ca="1">IFERROR(__xludf.DUMMYFUNCTION("IMPORTRANGE(""https://docs.google.com/spreadsheets/d/1Yj_ptqi66GCucihVvJfMjLAmec39IyEx_6qawtMGysU/edit?usp=sharing"",""สบก!N45"")"),0)</f>
        <v>0</v>
      </c>
      <c r="M47" s="624"/>
      <c r="N47" s="38"/>
      <c r="O47" s="623"/>
      <c r="P47" s="623"/>
    </row>
    <row r="48" spans="1:16" ht="21.75" customHeight="1" x14ac:dyDescent="0.3">
      <c r="A48" s="79"/>
      <c r="B48" s="80"/>
      <c r="C48" s="81" t="s">
        <v>16</v>
      </c>
      <c r="D48" s="640" t="s">
        <v>23</v>
      </c>
      <c r="E48" s="641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4"/>
      <c r="N48" s="41"/>
      <c r="O48" s="624"/>
      <c r="P48" s="624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2">
        <f ca="1">IFERROR(__xludf.DUMMYFUNCTION("IMPORTRANGE(""https://docs.google.com/spreadsheets/d/1Yj_ptqi66GCucihVvJfMjLAmec39IyEx_6qawtMGysU/edit?usp=sharing"",""สบก!O45"")"),0)</f>
        <v>0</v>
      </c>
      <c r="M49" s="625"/>
      <c r="N49" s="622">
        <f ca="1">IFERROR(__xludf.DUMMYFUNCTION("IMPORTRANGE(""https://docs.google.com/spreadsheets/d/1Yj_ptqi66GCucihVvJfMjLAmec39IyEx_6qawtMGysU/edit?usp=sharing"",""สบก!S45"")"),0)</f>
        <v>0</v>
      </c>
      <c r="O49" s="625">
        <f ca="1">IF(L49&gt;0,N49*100/L49,0)</f>
        <v>0</v>
      </c>
      <c r="P49" s="625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73" t="s">
        <v>32</v>
      </c>
      <c r="C52" s="641"/>
      <c r="D52" s="641"/>
      <c r="E52" s="641"/>
      <c r="F52" s="641"/>
      <c r="G52" s="641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74" t="s">
        <v>17</v>
      </c>
      <c r="E53" s="641"/>
      <c r="F53" s="641"/>
      <c r="G53" s="641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372514</v>
      </c>
      <c r="N53" s="121">
        <f t="shared" ca="1" si="39"/>
        <v>365403</v>
      </c>
      <c r="O53" s="120">
        <f t="shared" ref="O53:O55" ca="1" si="40">IF(L53&gt;0,N53*100/L53,0)</f>
        <v>77.679209183673464</v>
      </c>
      <c r="P53" s="120">
        <f t="shared" ref="P53:P55" ca="1" si="41">IF(M53&gt;0,N53*100/M53,0)</f>
        <v>98.091078456111717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372514</v>
      </c>
      <c r="N55" s="121">
        <f t="shared" ca="1" si="43"/>
        <v>365403</v>
      </c>
      <c r="O55" s="120">
        <f t="shared" ca="1" si="40"/>
        <v>77.679209183673464</v>
      </c>
      <c r="P55" s="120">
        <f t="shared" ca="1" si="41"/>
        <v>98.091078456111717</v>
      </c>
    </row>
    <row r="56" spans="1:16" ht="21.75" customHeight="1" x14ac:dyDescent="0.3">
      <c r="A56" s="79"/>
      <c r="B56" s="80"/>
      <c r="C56" s="81" t="s">
        <v>16</v>
      </c>
      <c r="D56" s="640" t="s">
        <v>20</v>
      </c>
      <c r="E56" s="641"/>
      <c r="F56" s="641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622">
        <f ca="1">IFERROR(__xludf.DUMMYFUNCTION("IMPORTRANGE(""https://docs.google.com/spreadsheets/d/1Yj_ptqi66GCucihVvJfMjLAmec39IyEx_6qawtMGysU/edit?usp=sharing"",""สบก!Z45"")"),372514)</f>
        <v>372514</v>
      </c>
      <c r="N57" s="622">
        <f ca="1">IFERROR(__xludf.DUMMYFUNCTION("IMPORTRANGE(""https://docs.google.com/spreadsheets/d/1Yj_ptqi66GCucihVvJfMjLAmec39IyEx_6qawtMGysU/edit?usp=sharing"",""สบก!AA45"")"),365403)</f>
        <v>365403</v>
      </c>
      <c r="O57" s="623">
        <f ca="1">IF(L57&gt;0,N57*100/L57,0)</f>
        <v>77.679209183673464</v>
      </c>
      <c r="P57" s="623">
        <f ca="1">IF(M57&gt;0,N57*100/M57,0)</f>
        <v>98.091078456111717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2">
        <f ca="1">IFERROR(__xludf.DUMMYFUNCTION("IMPORTRANGE(""https://docs.google.com/spreadsheets/d/1Yj_ptqi66GCucihVvJfMjLAmec39IyEx_6qawtMGysU/edit?usp=sharing"",""สบก!V45"")"),470400)</f>
        <v>470400</v>
      </c>
      <c r="M58" s="624"/>
      <c r="N58" s="38"/>
      <c r="O58" s="623"/>
      <c r="P58" s="623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2">
        <f ca="1">IFERROR(__xludf.DUMMYFUNCTION("IMPORTRANGE(""https://docs.google.com/spreadsheets/d/1Yj_ptqi66GCucihVvJfMjLAmec39IyEx_6qawtMGysU/edit?usp=sharing"",""สบก!W45"")"),0)</f>
        <v>0</v>
      </c>
      <c r="M59" s="624"/>
      <c r="N59" s="38"/>
      <c r="O59" s="623"/>
      <c r="P59" s="623"/>
    </row>
    <row r="60" spans="1:16" ht="21.75" customHeight="1" x14ac:dyDescent="0.3">
      <c r="A60" s="79"/>
      <c r="B60" s="80"/>
      <c r="C60" s="81" t="s">
        <v>16</v>
      </c>
      <c r="D60" s="640" t="s">
        <v>23</v>
      </c>
      <c r="E60" s="641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4"/>
      <c r="N60" s="41"/>
      <c r="O60" s="624"/>
      <c r="P60" s="624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2">
        <f ca="1">IFERROR(__xludf.DUMMYFUNCTION("IMPORTRANGE(""https://docs.google.com/spreadsheets/d/1Yj_ptqi66GCucihVvJfMjLAmec39IyEx_6qawtMGysU/edit?usp=sharing"",""สบก!X45"")"),0)</f>
        <v>0</v>
      </c>
      <c r="M61" s="625"/>
      <c r="N61" s="622">
        <f ca="1">IFERROR(__xludf.DUMMYFUNCTION("IMPORTRANGE(""https://docs.google.com/spreadsheets/d/1Yj_ptqi66GCucihVvJfMjLAmec39IyEx_6qawtMGysU/edit?usp=sharing"",""สบก!AB45"")"),0)</f>
        <v>0</v>
      </c>
      <c r="O61" s="625">
        <f ca="1">IF(L61&gt;0,N61*100/L61,0)</f>
        <v>0</v>
      </c>
      <c r="P61" s="625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2" t="s">
        <v>17</v>
      </c>
      <c r="E66" s="643"/>
      <c r="F66" s="643"/>
      <c r="G66" s="643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897000</v>
      </c>
      <c r="N66" s="152">
        <f t="shared" ca="1" si="45"/>
        <v>747465.82</v>
      </c>
      <c r="O66" s="151">
        <f t="shared" ref="O66:O68" ca="1" si="46">IF(L66&gt;0,N66*100/L66,0)</f>
        <v>70.237344484119532</v>
      </c>
      <c r="P66" s="151">
        <f t="shared" ref="P66:P68" ca="1" si="47">IF(M66&gt;0,N66*100/M66,0)</f>
        <v>83.329522853957641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897000</v>
      </c>
      <c r="N68" s="157">
        <f t="shared" ca="1" si="49"/>
        <v>747465.82</v>
      </c>
      <c r="O68" s="156">
        <f t="shared" ca="1" si="46"/>
        <v>70.237344484119532</v>
      </c>
      <c r="P68" s="156">
        <f t="shared" ca="1" si="47"/>
        <v>83.329522853957641</v>
      </c>
    </row>
    <row r="69" spans="1:16" ht="21.75" customHeight="1" x14ac:dyDescent="0.3">
      <c r="A69" s="158"/>
      <c r="B69" s="159"/>
      <c r="C69" s="159" t="s">
        <v>16</v>
      </c>
      <c r="D69" s="640" t="s">
        <v>20</v>
      </c>
      <c r="E69" s="641"/>
      <c r="F69" s="641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1019200</v>
      </c>
      <c r="M70" s="626">
        <f ca="1">IFERROR(__xludf.DUMMYFUNCTION("IMPORTRANGE(""https://docs.google.com/spreadsheets/d/1Yj_ptqi66GCucihVvJfMjLAmec39IyEx_6qawtMGysU/edit?usp=sharing"",""สบก!AI45"")"),852000)</f>
        <v>852000</v>
      </c>
      <c r="N70" s="627">
        <f ca="1">IFERROR(__xludf.DUMMYFUNCTION("IMPORTRANGE(""https://docs.google.com/spreadsheets/d/1Yj_ptqi66GCucihVvJfMjLAmec39IyEx_6qawtMGysU/edit?usp=sharing"",""สบก!AJ45"")"),702465.82)</f>
        <v>702465.82</v>
      </c>
      <c r="O70" s="169">
        <f ca="1">IF(L70&gt;0,N70*100/L70,0)</f>
        <v>68.923255494505497</v>
      </c>
      <c r="P70" s="169">
        <f ca="1">IF(M70&gt;0,N70*100/M70,0)</f>
        <v>82.44903990610328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6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6">
        <f ca="1">IFERROR(__xludf.DUMMYFUNCTION("IMPORTRANGE(""https://docs.google.com/spreadsheets/d/1Yj_ptqi66GCucihVvJfMjLAmec39IyEx_6qawtMGysU/edit?usp=sharing"",""สบก!AF45"")"),696400)</f>
        <v>696400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0" t="s">
        <v>23</v>
      </c>
      <c r="E73" s="641"/>
      <c r="F73" s="89"/>
      <c r="G73" s="82" t="s">
        <v>18</v>
      </c>
      <c r="H73" s="172" t="s">
        <v>12</v>
      </c>
      <c r="I73" s="84"/>
      <c r="J73" s="84"/>
      <c r="K73" s="85"/>
      <c r="L73" s="624">
        <v>0</v>
      </c>
      <c r="M73" s="624"/>
      <c r="N73" s="41"/>
      <c r="O73" s="624"/>
      <c r="P73" s="624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2">
        <f ca="1">IFERROR(__xludf.DUMMYFUNCTION("IMPORTRANGE(""https://docs.google.com/spreadsheets/d/1Yj_ptqi66GCucihVvJfMjLAmec39IyEx_6qawtMGysU/edit?usp=sharing"",""สบก!AG45"")"),45000)</f>
        <v>45000</v>
      </c>
      <c r="M74" s="625">
        <f ca="1">L74</f>
        <v>45000</v>
      </c>
      <c r="N74" s="622">
        <f ca="1">IFERROR(__xludf.DUMMYFUNCTION("IMPORTRANGE(""https://docs.google.com/spreadsheets/d/1Yj_ptqi66GCucihVvJfMjLAmec39IyEx_6qawtMGysU/edit?usp=sharing"",""สบก!AK45"")"),45000)</f>
        <v>45000</v>
      </c>
      <c r="O74" s="625">
        <f ca="1">IF(L74&gt;0,N74*100/L74,0)</f>
        <v>100</v>
      </c>
      <c r="P74" s="625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2" t="s">
        <v>17</v>
      </c>
      <c r="E94" s="643"/>
      <c r="F94" s="643"/>
      <c r="G94" s="64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194455</v>
      </c>
      <c r="N94" s="152">
        <f t="shared" ca="1" si="52"/>
        <v>149771</v>
      </c>
      <c r="O94" s="151">
        <f t="shared" ref="O94:O96" ca="1" si="53">IF(L94&gt;0,N94*100/L94,0)</f>
        <v>69.823310023310029</v>
      </c>
      <c r="P94" s="151">
        <f t="shared" ref="P94:P96" ca="1" si="54">IF(M94&gt;0,N94*100/M94,0)</f>
        <v>77.020904579465693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194455</v>
      </c>
      <c r="N96" s="157">
        <f t="shared" ca="1" si="56"/>
        <v>149771</v>
      </c>
      <c r="O96" s="156">
        <f t="shared" ca="1" si="53"/>
        <v>69.823310023310029</v>
      </c>
      <c r="P96" s="156">
        <f t="shared" ca="1" si="54"/>
        <v>77.020904579465693</v>
      </c>
    </row>
    <row r="97" spans="1:16" ht="21.75" customHeight="1" x14ac:dyDescent="0.3">
      <c r="A97" s="158"/>
      <c r="B97" s="159"/>
      <c r="C97" s="159" t="s">
        <v>16</v>
      </c>
      <c r="D97" s="640" t="s">
        <v>20</v>
      </c>
      <c r="E97" s="641"/>
      <c r="F97" s="641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6">
        <f ca="1">IFERROR(__xludf.DUMMYFUNCTION("IMPORTRANGE(""https://docs.google.com/spreadsheets/d/1Yj_ptqi66GCucihVvJfMjLAmec39IyEx_6qawtMGysU/edit?usp=sharing"",""สบก!AR45"")"),102055)</f>
        <v>102055</v>
      </c>
      <c r="N98" s="627">
        <f ca="1">IFERROR(__xludf.DUMMYFUNCTION("IMPORTRANGE(""https://docs.google.com/spreadsheets/d/1Yj_ptqi66GCucihVvJfMjLAmec39IyEx_6qawtMGysU/edit?usp=sharing"",""สบก!AS45"")"),57371)</f>
        <v>57371</v>
      </c>
      <c r="O98" s="169">
        <f ca="1">IF(L98&gt;0,N98*100/L98,0)</f>
        <v>46.986895986895988</v>
      </c>
      <c r="P98" s="169">
        <f ca="1">IF(M98&gt;0,N98*100/M98,0)</f>
        <v>56.215766008524817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6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6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0" t="s">
        <v>23</v>
      </c>
      <c r="E101" s="641"/>
      <c r="F101" s="89"/>
      <c r="G101" s="82" t="s">
        <v>18</v>
      </c>
      <c r="H101" s="172" t="s">
        <v>12</v>
      </c>
      <c r="I101" s="188"/>
      <c r="J101" s="188"/>
      <c r="K101" s="225"/>
      <c r="L101" s="624">
        <v>0</v>
      </c>
      <c r="M101" s="624"/>
      <c r="N101" s="41"/>
      <c r="O101" s="624"/>
      <c r="P101" s="624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2">
        <f ca="1">IFERROR(__xludf.DUMMYFUNCTION("IMPORTRANGE(""https://docs.google.com/spreadsheets/d/1Yj_ptqi66GCucihVvJfMjLAmec39IyEx_6qawtMGysU/edit?usp=sharing"",""สบก!AP45"")"),92400)</f>
        <v>92400</v>
      </c>
      <c r="M102" s="625">
        <f ca="1">L102</f>
        <v>92400</v>
      </c>
      <c r="N102" s="622">
        <f ca="1">IFERROR(__xludf.DUMMYFUNCTION("IMPORTRANGE(""https://docs.google.com/spreadsheets/d/1Yj_ptqi66GCucihVvJfMjLAmec39IyEx_6qawtMGysU/edit?usp=sharing"",""สบก!AT45"")"),92400)</f>
        <v>92400</v>
      </c>
      <c r="O102" s="625">
        <f ca="1">IF(L102&gt;0,N102*100/L102,0)</f>
        <v>100</v>
      </c>
      <c r="P102" s="625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2" t="s">
        <v>17</v>
      </c>
      <c r="E118" s="643"/>
      <c r="F118" s="643"/>
      <c r="G118" s="64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0" t="s">
        <v>20</v>
      </c>
      <c r="E121" s="641"/>
      <c r="F121" s="641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6">
        <f ca="1">IFERROR(__xludf.DUMMYFUNCTION("IMPORTRANGE(""https://docs.google.com/spreadsheets/d/1Yj_ptqi66GCucihVvJfMjLAmec39IyEx_6qawtMGysU/edit?usp=sharing"",""สบก!BA45"")"),0)</f>
        <v>0</v>
      </c>
      <c r="N122" s="627">
        <f ca="1">IFERROR(__xludf.DUMMYFUNCTION("IMPORTRANGE(""https://docs.google.com/spreadsheets/d/1Yj_ptqi66GCucihVvJfMjLAmec39IyEx_6qawtMGysU/edit?usp=sharing"",""สบก!BB45"")"),0)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6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6">
        <f ca="1">IFERROR(__xludf.DUMMYFUNCTION("IMPORTRANGE(""https://docs.google.com/spreadsheets/d/1Yj_ptqi66GCucihVvJfMjLAmec39IyEx_6qawtMGysU/edit?usp=sharing"",""สบก!AX45"")"),0)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0" t="s">
        <v>23</v>
      </c>
      <c r="E125" s="641"/>
      <c r="F125" s="89"/>
      <c r="G125" s="82" t="s">
        <v>18</v>
      </c>
      <c r="H125" s="172" t="s">
        <v>12</v>
      </c>
      <c r="I125" s="188"/>
      <c r="J125" s="188"/>
      <c r="K125" s="225"/>
      <c r="L125" s="624">
        <v>0</v>
      </c>
      <c r="M125" s="624"/>
      <c r="N125" s="41"/>
      <c r="O125" s="624"/>
      <c r="P125" s="624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2">
        <f ca="1">IFERROR(__xludf.DUMMYFUNCTION("IMPORTRANGE(""https://docs.google.com/spreadsheets/d/1Yj_ptqi66GCucihVvJfMjLAmec39IyEx_6qawtMGysU/edit?usp=sharing"",""สบก!AY45"")"),0)</f>
        <v>0</v>
      </c>
      <c r="M126" s="625"/>
      <c r="N126" s="622">
        <f ca="1">IFERROR(__xludf.DUMMYFUNCTION("IMPORTRANGE(""https://docs.google.com/spreadsheets/d/1Yj_ptqi66GCucihVvJfMjLAmec39IyEx_6qawtMGysU/edit?usp=sharing"",""สบก!BC45"")"),0)</f>
        <v>0</v>
      </c>
      <c r="O126" s="625">
        <f ca="1">IF(L126&gt;0,N126*100/L126,0)</f>
        <v>0</v>
      </c>
      <c r="P126" s="625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2" t="s">
        <v>17</v>
      </c>
      <c r="E140" s="643"/>
      <c r="F140" s="643"/>
      <c r="G140" s="643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69625</v>
      </c>
      <c r="N140" s="152">
        <f t="shared" ca="1" si="64"/>
        <v>68120</v>
      </c>
      <c r="O140" s="151">
        <f t="shared" ref="O140:O142" ca="1" si="65">IF(L140&gt;0,N140*100/L140,0)</f>
        <v>69.86666666666666</v>
      </c>
      <c r="P140" s="151">
        <f t="shared" ref="P140:P142" ca="1" si="66">IF(M140&gt;0,N140*100/M140,0)</f>
        <v>97.838420107719926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69625</v>
      </c>
      <c r="N142" s="157">
        <f t="shared" ca="1" si="68"/>
        <v>68120</v>
      </c>
      <c r="O142" s="156">
        <f t="shared" ca="1" si="65"/>
        <v>69.86666666666666</v>
      </c>
      <c r="P142" s="156">
        <f t="shared" ca="1" si="66"/>
        <v>97.838420107719926</v>
      </c>
    </row>
    <row r="143" spans="1:16" ht="21.75" customHeight="1" x14ac:dyDescent="0.3">
      <c r="A143" s="158"/>
      <c r="B143" s="159"/>
      <c r="C143" s="159" t="s">
        <v>16</v>
      </c>
      <c r="D143" s="640" t="s">
        <v>20</v>
      </c>
      <c r="E143" s="641"/>
      <c r="F143" s="641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626">
        <f ca="1">IFERROR(__xludf.DUMMYFUNCTION("IMPORTRANGE(""https://docs.google.com/spreadsheets/d/1Yj_ptqi66GCucihVvJfMjLAmec39IyEx_6qawtMGysU/edit?usp=sharing"",""สบก!BJ45"")"),69625)</f>
        <v>69625</v>
      </c>
      <c r="N144" s="627">
        <f ca="1">IFERROR(__xludf.DUMMYFUNCTION("IMPORTRANGE(""https://docs.google.com/spreadsheets/d/1Yj_ptqi66GCucihVvJfMjLAmec39IyEx_6qawtMGysU/edit?usp=sharing"",""สบก!BK45"")"),68120)</f>
        <v>68120</v>
      </c>
      <c r="O144" s="169">
        <f ca="1">IF(L144&gt;0,N144*100/L144,0)</f>
        <v>69.86666666666666</v>
      </c>
      <c r="P144" s="169">
        <f ca="1">IF(M144&gt;0,N144*100/M144,0)</f>
        <v>97.838420107719926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6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6">
        <f ca="1">IFERROR(__xludf.DUMMYFUNCTION("IMPORTRANGE(""https://docs.google.com/spreadsheets/d/1Yj_ptqi66GCucihVvJfMjLAmec39IyEx_6qawtMGysU/edit?usp=sharing"",""สบก!BG45"")"),97500)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0" t="s">
        <v>23</v>
      </c>
      <c r="E147" s="641"/>
      <c r="F147" s="89"/>
      <c r="G147" s="82" t="s">
        <v>18</v>
      </c>
      <c r="H147" s="172" t="s">
        <v>12</v>
      </c>
      <c r="I147" s="188"/>
      <c r="J147" s="188"/>
      <c r="K147" s="225"/>
      <c r="L147" s="624">
        <v>0</v>
      </c>
      <c r="M147" s="624"/>
      <c r="N147" s="41"/>
      <c r="O147" s="624"/>
      <c r="P147" s="624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2">
        <f ca="1">IFERROR(__xludf.DUMMYFUNCTION("IMPORTRANGE(""https://docs.google.com/spreadsheets/d/1Yj_ptqi66GCucihVvJfMjLAmec39IyEx_6qawtMGysU/edit?usp=sharing"",""สบก!BH45"")"),0)</f>
        <v>0</v>
      </c>
      <c r="M148" s="625"/>
      <c r="N148" s="622">
        <f ca="1">IFERROR(__xludf.DUMMYFUNCTION("IMPORTRANGE(""https://docs.google.com/spreadsheets/d/1Yj_ptqi66GCucihVvJfMjLAmec39IyEx_6qawtMGysU/edit?usp=sharing"",""สบก!BL45"")"),0)</f>
        <v>0</v>
      </c>
      <c r="O148" s="625">
        <f ca="1">IF(L148&gt;0,N148*100/L148,0)</f>
        <v>0</v>
      </c>
      <c r="P148" s="625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IFERROR(__xludf.DUMMYFUNCTION("IMPORTRANGE(""https://docs.google.com/spreadsheets/d/1XL5vhW3sbDhbH9Cz0tuDiY8C3ctxq1tqvaCgkFb8cCA/edit?usp=sharing"",""มหาสารคาม!J84"")"),72)</f>
        <v>72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IFERROR(__xludf.DUMMYFUNCTION("IMPORTRANGE(""https://docs.google.com/spreadsheets/d/1XL5vhW3sbDhbH9Cz0tuDiY8C3ctxq1tqvaCgkFb8cCA/edit?usp=sharing"",""มหาสารคาม!J85"")"),72)</f>
        <v>72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IFERROR(__xludf.DUMMYFUNCTION("IMPORTRANGE(""https://docs.google.com/spreadsheets/d/1XL5vhW3sbDhbH9Cz0tuDiY8C3ctxq1tqvaCgkFb8cCA/edit?usp=sharing"",""มหาสารคาม!J89"")"),2)</f>
        <v>2</v>
      </c>
      <c r="K164" s="286">
        <f ca="1">IF(I164&gt;0,J164*100/I164,0)</f>
        <v>50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IFERROR(__xludf.DUMMYFUNCTION("IMPORTRANGE(""https://docs.google.com/spreadsheets/d/1XL5vhW3sbDhbH9Cz0tuDiY8C3ctxq1tqvaCgkFb8cCA/edit?usp=sharing"",""มหาสารคาม!J98"")"),2)</f>
        <v>2</v>
      </c>
      <c r="K173" s="163">
        <f ca="1">IF(I173&gt;0,J173*100/I173,0)</f>
        <v>50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2" t="s">
        <v>17</v>
      </c>
      <c r="E220" s="643"/>
      <c r="F220" s="643"/>
      <c r="G220" s="64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0" t="s">
        <v>20</v>
      </c>
      <c r="E223" s="641"/>
      <c r="F223" s="641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6">
        <f ca="1">IFERROR(__xludf.DUMMYFUNCTION("IMPORTRANGE(""https://docs.google.com/spreadsheets/d/1Yj_ptqi66GCucihVvJfMjLAmec39IyEx_6qawtMGysU/edit?usp=sharing"",""สบก!BS45"")"),20210)</f>
        <v>20210</v>
      </c>
      <c r="N224" s="627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6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6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0" t="s">
        <v>23</v>
      </c>
      <c r="E227" s="641"/>
      <c r="F227" s="89"/>
      <c r="G227" s="82" t="s">
        <v>18</v>
      </c>
      <c r="H227" s="172" t="s">
        <v>12</v>
      </c>
      <c r="I227" s="201"/>
      <c r="J227" s="201"/>
      <c r="K227" s="291"/>
      <c r="L227" s="624">
        <v>0</v>
      </c>
      <c r="M227" s="624"/>
      <c r="N227" s="41"/>
      <c r="O227" s="624"/>
      <c r="P227" s="624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2">
        <f ca="1">IFERROR(__xludf.DUMMYFUNCTION("IMPORTRANGE(""https://docs.google.com/spreadsheets/d/1Yj_ptqi66GCucihVvJfMjLAmec39IyEx_6qawtMGysU/edit?usp=sharing"",""สบก!BQ45"")"),0)</f>
        <v>0</v>
      </c>
      <c r="M228" s="625"/>
      <c r="N228" s="622">
        <f ca="1">IFERROR(__xludf.DUMMYFUNCTION("IMPORTRANGE(""https://docs.google.com/spreadsheets/d/1Yj_ptqi66GCucihVvJfMjLAmec39IyEx_6qawtMGysU/edit?usp=sharing"",""สบก!BU45"")"),0)</f>
        <v>0</v>
      </c>
      <c r="O228" s="625">
        <f ca="1">IF(L228&gt;0,N228*100/L228,0)</f>
        <v>0</v>
      </c>
      <c r="P228" s="625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2" t="s">
        <v>17</v>
      </c>
      <c r="E250" s="643"/>
      <c r="F250" s="643"/>
      <c r="G250" s="64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0" t="s">
        <v>20</v>
      </c>
      <c r="E253" s="641"/>
      <c r="F253" s="641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6">
        <f ca="1">IFERROR(__xludf.DUMMYFUNCTION("IMPORTRANGE(""https://docs.google.com/spreadsheets/d/1Yj_ptqi66GCucihVvJfMjLAmec39IyEx_6qawtMGysU/edit?usp=sharing"",""สบก!CB45"")"),0)</f>
        <v>0</v>
      </c>
      <c r="N254" s="627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6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6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0" t="s">
        <v>23</v>
      </c>
      <c r="E257" s="641"/>
      <c r="F257" s="89"/>
      <c r="G257" s="82" t="s">
        <v>18</v>
      </c>
      <c r="H257" s="172" t="s">
        <v>12</v>
      </c>
      <c r="I257" s="162"/>
      <c r="J257" s="162"/>
      <c r="K257" s="163"/>
      <c r="L257" s="624">
        <v>0</v>
      </c>
      <c r="M257" s="624"/>
      <c r="N257" s="41"/>
      <c r="O257" s="624"/>
      <c r="P257" s="624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2">
        <f ca="1">IFERROR(__xludf.DUMMYFUNCTION("IMPORTRANGE(""https://docs.google.com/spreadsheets/d/1Yj_ptqi66GCucihVvJfMjLAmec39IyEx_6qawtMGysU/edit?usp=sharing"",""สบก!BZ45"")"),0)</f>
        <v>0</v>
      </c>
      <c r="M258" s="625"/>
      <c r="N258" s="622">
        <f ca="1">IFERROR(__xludf.DUMMYFUNCTION("IMPORTRANGE(""https://docs.google.com/spreadsheets/d/1Yj_ptqi66GCucihVvJfMjLAmec39IyEx_6qawtMGysU/edit?usp=sharing"",""สบก!CD45"")"),0)</f>
        <v>0</v>
      </c>
      <c r="O258" s="625">
        <f ca="1">IF(L258&gt;0,N258*100/L258,0)</f>
        <v>0</v>
      </c>
      <c r="P258" s="625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2" t="s">
        <v>17</v>
      </c>
      <c r="E271" s="643"/>
      <c r="F271" s="643"/>
      <c r="G271" s="64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0" t="s">
        <v>20</v>
      </c>
      <c r="E274" s="641"/>
      <c r="F274" s="641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6">
        <f ca="1">IFERROR(__xludf.DUMMYFUNCTION("IMPORTRANGE(""https://docs.google.com/spreadsheets/d/1Yj_ptqi66GCucihVvJfMjLAmec39IyEx_6qawtMGysU/edit?usp=sharing"",""สบก!CK45"")"),32250)</f>
        <v>32250</v>
      </c>
      <c r="N275" s="627">
        <f ca="1">IFERROR(__xludf.DUMMYFUNCTION("IMPORTRANGE(""https://docs.google.com/spreadsheets/d/1Yj_ptqi66GCucihVvJfMjLAmec39IyEx_6qawtMGysU/edit?usp=sharing"",""สบก!CL45"")"),32250)</f>
        <v>32250</v>
      </c>
      <c r="O275" s="169">
        <f ca="1">IF(L275&gt;0,N275*100/L275,0)</f>
        <v>58.423913043478258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6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6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0" t="s">
        <v>23</v>
      </c>
      <c r="E278" s="641"/>
      <c r="F278" s="89"/>
      <c r="G278" s="82" t="s">
        <v>18</v>
      </c>
      <c r="H278" s="172" t="s">
        <v>12</v>
      </c>
      <c r="I278" s="162"/>
      <c r="J278" s="162"/>
      <c r="K278" s="163"/>
      <c r="L278" s="624">
        <v>0</v>
      </c>
      <c r="M278" s="624"/>
      <c r="N278" s="41"/>
      <c r="O278" s="624"/>
      <c r="P278" s="624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2">
        <f ca="1">IFERROR(__xludf.DUMMYFUNCTION("IMPORTRANGE(""https://docs.google.com/spreadsheets/d/1Yj_ptqi66GCucihVvJfMjLAmec39IyEx_6qawtMGysU/edit?usp=sharing"",""สบก!CI45"")"),0)</f>
        <v>0</v>
      </c>
      <c r="M279" s="625"/>
      <c r="N279" s="622">
        <f ca="1">IFERROR(__xludf.DUMMYFUNCTION("IMPORTRANGE(""https://docs.google.com/spreadsheets/d/1Yj_ptqi66GCucihVvJfMjLAmec39IyEx_6qawtMGysU/edit?usp=sharing"",""สบก!CM45"")"),0)</f>
        <v>0</v>
      </c>
      <c r="O279" s="625">
        <f ca="1">IF(L279&gt;0,N279*100/L279,0)</f>
        <v>0</v>
      </c>
      <c r="P279" s="625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2" t="s">
        <v>17</v>
      </c>
      <c r="E290" s="643"/>
      <c r="F290" s="643"/>
      <c r="G290" s="64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0" t="s">
        <v>20</v>
      </c>
      <c r="E293" s="641"/>
      <c r="F293" s="641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6">
        <f ca="1">IFERROR(__xludf.DUMMYFUNCTION("IMPORTRANGE(""https://docs.google.com/spreadsheets/d/1Yj_ptqi66GCucihVvJfMjLAmec39IyEx_6qawtMGysU/edit?usp=sharing"",""สบก!CT45"")"),0)</f>
        <v>0</v>
      </c>
      <c r="N294" s="627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6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6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0" t="s">
        <v>23</v>
      </c>
      <c r="E297" s="641"/>
      <c r="F297" s="89"/>
      <c r="G297" s="82" t="s">
        <v>18</v>
      </c>
      <c r="H297" s="172" t="s">
        <v>12</v>
      </c>
      <c r="I297" s="188"/>
      <c r="J297" s="188"/>
      <c r="K297" s="225"/>
      <c r="L297" s="624">
        <v>0</v>
      </c>
      <c r="M297" s="624"/>
      <c r="N297" s="41"/>
      <c r="O297" s="624"/>
      <c r="P297" s="624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2">
        <f ca="1">IFERROR(__xludf.DUMMYFUNCTION("IMPORTRANGE(""https://docs.google.com/spreadsheets/d/1Yj_ptqi66GCucihVvJfMjLAmec39IyEx_6qawtMGysU/edit?usp=sharing"",""สบก!CR45"")"),0)</f>
        <v>0</v>
      </c>
      <c r="M298" s="625"/>
      <c r="N298" s="622">
        <f ca="1">IFERROR(__xludf.DUMMYFUNCTION("IMPORTRANGE(""https://docs.google.com/spreadsheets/d/1Yj_ptqi66GCucihVvJfMjLAmec39IyEx_6qawtMGysU/edit?usp=sharing"",""สบก!CV45"")"),0)</f>
        <v>0</v>
      </c>
      <c r="O298" s="625">
        <f ca="1">IF(L298&gt;0,N298*100/L298,0)</f>
        <v>0</v>
      </c>
      <c r="P298" s="625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2" t="s">
        <v>17</v>
      </c>
      <c r="E310" s="643"/>
      <c r="F310" s="643"/>
      <c r="G310" s="64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0" t="s">
        <v>20</v>
      </c>
      <c r="E313" s="641"/>
      <c r="F313" s="641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6">
        <f ca="1">IFERROR(__xludf.DUMMYFUNCTION("IMPORTRANGE(""https://docs.google.com/spreadsheets/d/1Yj_ptqi66GCucihVvJfMjLAmec39IyEx_6qawtMGysU/edit?usp=sharing"",""สบก!DC45"")"),0)</f>
        <v>0</v>
      </c>
      <c r="N314" s="627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6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6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0" t="s">
        <v>23</v>
      </c>
      <c r="E317" s="641"/>
      <c r="F317" s="89"/>
      <c r="G317" s="82" t="s">
        <v>18</v>
      </c>
      <c r="H317" s="172" t="s">
        <v>12</v>
      </c>
      <c r="I317" s="162"/>
      <c r="J317" s="188"/>
      <c r="K317" s="225"/>
      <c r="L317" s="624">
        <v>0</v>
      </c>
      <c r="M317" s="624"/>
      <c r="N317" s="41"/>
      <c r="O317" s="624"/>
      <c r="P317" s="624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2">
        <f ca="1">IFERROR(__xludf.DUMMYFUNCTION("IMPORTRANGE(""https://docs.google.com/spreadsheets/d/1Yj_ptqi66GCucihVvJfMjLAmec39IyEx_6qawtMGysU/edit?usp=sharing"",""สบก!DA45"")"),0)</f>
        <v>0</v>
      </c>
      <c r="M318" s="625"/>
      <c r="N318" s="622">
        <f ca="1">IFERROR(__xludf.DUMMYFUNCTION("IMPORTRANGE(""https://docs.google.com/spreadsheets/d/1Yj_ptqi66GCucihVvJfMjLAmec39IyEx_6qawtMGysU/edit?usp=sharing"",""สบก!DE45"")"),0)</f>
        <v>0</v>
      </c>
      <c r="O318" s="625">
        <f ca="1">IF(L318&gt;0,N318*100/L318,0)</f>
        <v>0</v>
      </c>
      <c r="P318" s="625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IFERROR(__xludf.DUMMYFUNCTION("IMPORTRANGE(""https://docs.google.com/spreadsheets/d/1XL5vhW3sbDhbH9Cz0tuDiY8C3ctxq1tqvaCgkFb8cCA/edit?usp=sharing"",""มหาสารคาม!J228"")"),102)</f>
        <v>102</v>
      </c>
      <c r="K328" s="318">
        <f ca="1">IF(I328&gt;0,J328*100/I328,0)</f>
        <v>52.307692307692307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2" t="s">
        <v>17</v>
      </c>
      <c r="E329" s="643"/>
      <c r="F329" s="643"/>
      <c r="G329" s="643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523610</v>
      </c>
      <c r="N329" s="152">
        <f t="shared" ca="1" si="98"/>
        <v>409555.85</v>
      </c>
      <c r="O329" s="151">
        <f t="shared" ref="O329:O331" ca="1" si="99">IF(L329&gt;0,N329*100/L329,0)</f>
        <v>61.912268899941047</v>
      </c>
      <c r="P329" s="151">
        <f t="shared" ref="P329:P331" ca="1" si="100">IF(M329&gt;0,N329*100/M329,0)</f>
        <v>78.217728843986933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523610</v>
      </c>
      <c r="N331" s="157">
        <f t="shared" ca="1" si="102"/>
        <v>409555.85</v>
      </c>
      <c r="O331" s="156">
        <f t="shared" ca="1" si="99"/>
        <v>61.912268899941047</v>
      </c>
      <c r="P331" s="156">
        <f t="shared" ca="1" si="100"/>
        <v>78.217728843986933</v>
      </c>
    </row>
    <row r="332" spans="1:16" ht="21.75" customHeight="1" x14ac:dyDescent="0.3">
      <c r="A332" s="158"/>
      <c r="B332" s="159"/>
      <c r="C332" s="159" t="s">
        <v>16</v>
      </c>
      <c r="D332" s="640" t="s">
        <v>20</v>
      </c>
      <c r="E332" s="641"/>
      <c r="F332" s="641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6">
        <f ca="1">IFERROR(__xludf.DUMMYFUNCTION("IMPORTRANGE(""https://docs.google.com/spreadsheets/d/1Yj_ptqi66GCucihVvJfMjLAmec39IyEx_6qawtMGysU/edit?usp=sharing"",""สบก!DL45"")"),523610)</f>
        <v>523610</v>
      </c>
      <c r="N333" s="627">
        <f ca="1">IFERROR(__xludf.DUMMYFUNCTION("IMPORTRANGE(""https://docs.google.com/spreadsheets/d/1Yj_ptqi66GCucihVvJfMjLAmec39IyEx_6qawtMGysU/edit?usp=sharing"",""สบก!DM45"")"),409555.85)</f>
        <v>409555.85</v>
      </c>
      <c r="O333" s="169">
        <f ca="1">IF(L333&gt;0,N333*100/L333,0)</f>
        <v>61.912268899941047</v>
      </c>
      <c r="P333" s="169">
        <f ca="1">IF(M333&gt;0,N333*100/M333,0)</f>
        <v>78.217728843986933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6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6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0" t="s">
        <v>23</v>
      </c>
      <c r="E336" s="641"/>
      <c r="F336" s="89"/>
      <c r="G336" s="82" t="s">
        <v>18</v>
      </c>
      <c r="H336" s="172" t="s">
        <v>12</v>
      </c>
      <c r="I336" s="162"/>
      <c r="J336" s="162"/>
      <c r="K336" s="163"/>
      <c r="L336" s="624">
        <v>0</v>
      </c>
      <c r="M336" s="624"/>
      <c r="N336" s="41"/>
      <c r="O336" s="624"/>
      <c r="P336" s="624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2">
        <f ca="1">IFERROR(__xludf.DUMMYFUNCTION("IMPORTRANGE(""https://docs.google.com/spreadsheets/d/1Yj_ptqi66GCucihVvJfMjLAmec39IyEx_6qawtMGysU/edit?usp=sharing"",""สบก!DJ45"")"),0)</f>
        <v>0</v>
      </c>
      <c r="M337" s="625"/>
      <c r="N337" s="622">
        <f ca="1">IFERROR(__xludf.DUMMYFUNCTION("IMPORTRANGE(""https://docs.google.com/spreadsheets/d/1Yj_ptqi66GCucihVvJfMjLAmec39IyEx_6qawtMGysU/edit?usp=sharing"",""สบก!DN45"")"),0)</f>
        <v>0</v>
      </c>
      <c r="O337" s="625">
        <f ca="1">IF(L337&gt;0,N337*100/L337,0)</f>
        <v>0</v>
      </c>
      <c r="P337" s="625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IFERROR(__xludf.DUMMYFUNCTION("IMPORTRANGE(""https://docs.google.com/spreadsheets/d/1XL5vhW3sbDhbH9Cz0tuDiY8C3ctxq1tqvaCgkFb8cCA/edit?usp=sharing"",""มหาสารคาม!J234"")"),191)</f>
        <v>191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IFERROR(__xludf.DUMMYFUNCTION("IMPORTRANGE(""https://docs.google.com/spreadsheets/d/1XL5vhW3sbDhbH9Cz0tuDiY8C3ctxq1tqvaCgkFb8cCA/edit?usp=sharing"",""มหาสารคาม!J235"")"),1374.37999999999)</f>
        <v>1374.3799999999901</v>
      </c>
      <c r="K340" s="343">
        <f t="shared" ca="1" si="103"/>
        <v>101.80592592592519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IFERROR(__xludf.DUMMYFUNCTION("IMPORTRANGE(""https://docs.google.com/spreadsheets/d/1XL5vhW3sbDhbH9Cz0tuDiY8C3ctxq1tqvaCgkFb8cCA/edit?usp=sharing"",""มหาสารคาม!J236"")"),103)</f>
        <v>103</v>
      </c>
      <c r="K341" s="343">
        <f t="shared" ca="1" si="103"/>
        <v>52.820512820512818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IFERROR(__xludf.DUMMYFUNCTION("IMPORTRANGE(""https://docs.google.com/spreadsheets/d/1XL5vhW3sbDhbH9Cz0tuDiY8C3ctxq1tqvaCgkFb8cCA/edit?usp=sharing"",""มหาสารคาม!J237"")"),1148.88)</f>
        <v>1148.8800000000001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IFERROR(__xludf.DUMMYFUNCTION("IMPORTRANGE(""https://docs.google.com/spreadsheets/d/1XL5vhW3sbDhbH9Cz0tuDiY8C3ctxq1tqvaCgkFb8cCA/edit?usp=sharing"",""มหาสารคาม!J240"")"),102)</f>
        <v>102</v>
      </c>
      <c r="K345" s="343">
        <f t="shared" ca="1" si="103"/>
        <v>52.307692307692307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IFERROR(__xludf.DUMMYFUNCTION("IMPORTRANGE(""https://docs.google.com/spreadsheets/d/1XL5vhW3sbDhbH9Cz0tuDiY8C3ctxq1tqvaCgkFb8cCA/edit?usp=sharing"",""มหาสารคาม!J241"")"),1140.83)</f>
        <v>1140.83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IFERROR(__xludf.DUMMYFUNCTION("IMPORTRANGE(""https://docs.google.com/spreadsheets/d/1XL5vhW3sbDhbH9Cz0tuDiY8C3ctxq1tqvaCgkFb8cCA/edit?usp=sharing"",""มหาสารคาม!L242"")"),2365457)</f>
        <v>2365457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IFERROR(__xludf.DUMMYFUNCTION("IMPORTRANGE(""https://docs.google.com/spreadsheets/d/1XL5vhW3sbDhbH9Cz0tuDiY8C3ctxq1tqvaCgkFb8cCA/edit?usp=sharing"",""มหาสารคาม!M242"")"),732154.11)</f>
        <v>732154.11</v>
      </c>
      <c r="O347" s="358">
        <f ca="1">+IF(L347&gt;0,N347*100/L347,0)</f>
        <v>30.951909504167695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IFERROR(__xludf.DUMMYFUNCTION("IMPORTRANGE(""https://docs.google.com/spreadsheets/d/1XL5vhW3sbDhbH9Cz0tuDiY8C3ctxq1tqvaCgkFb8cCA/edit?usp=sharing"",""มหาสารคาม!M244"")"),216187.479999999)</f>
        <v>216187.47999999899</v>
      </c>
      <c r="O349" s="373">
        <f ca="1">+IF(L349&gt;0,N349*100/L349,0)</f>
        <v>35.078286548758555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IFERROR(__xludf.DUMMYFUNCTION("IMPORTRANGE(""https://docs.google.com/spreadsheets/d/1XL5vhW3sbDhbH9Cz0tuDiY8C3ctxq1tqvaCgkFb8cCA/edit?usp=sharing"",""มหาสารคาม!M247"")"),216187.479999999)</f>
        <v>216187.47999999899</v>
      </c>
      <c r="O352" s="165">
        <f t="shared" ca="1" si="105"/>
        <v>35.078286548758555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IFERROR(__xludf.DUMMYFUNCTION("IMPORTRANGE(""https://docs.google.com/spreadsheets/d/1XL5vhW3sbDhbH9Cz0tuDiY8C3ctxq1tqvaCgkFb8cCA/edit?usp=sharing"",""มหาสารคาม!M249"")"),216187.479999999)</f>
        <v>216187.47999999899</v>
      </c>
      <c r="O354" s="169">
        <f t="shared" ca="1" si="105"/>
        <v>35.078286548758555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IFERROR(__xludf.DUMMYFUNCTION("IMPORTRANGE(""https://docs.google.com/spreadsheets/d/1XL5vhW3sbDhbH9Cz0tuDiY8C3ctxq1tqvaCgkFb8cCA/edit?usp=sharing"",""มหาสารคาม!M250"")"),131352)</f>
        <v>131352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IFERROR(__xludf.DUMMYFUNCTION("IMPORTRANGE(""https://docs.google.com/spreadsheets/d/1XL5vhW3sbDhbH9Cz0tuDiY8C3ctxq1tqvaCgkFb8cCA/edit?usp=sharing"",""มหาสารคาม!M252"")"),77935.48)</f>
        <v>77935.48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IFERROR(__xludf.DUMMYFUNCTION("IMPORTRANGE(""https://docs.google.com/spreadsheets/d/1XL5vhW3sbDhbH9Cz0tuDiY8C3ctxq1tqvaCgkFb8cCA/edit?usp=sharing"",""มหาสารคาม!M253"")"),6900)</f>
        <v>6900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IFERROR(__xludf.DUMMYFUNCTION("IMPORTRANGE(""https://docs.google.com/spreadsheets/d/1XL5vhW3sbDhbH9Cz0tuDiY8C3ctxq1tqvaCgkFb8cCA/edit?usp=sharing"",""มหาสารคาม!M275"")"),166210.65)</f>
        <v>166210.65</v>
      </c>
      <c r="O380" s="373">
        <f ca="1">+IF(L380&gt;0,N380*100/L380,0)</f>
        <v>16.160176758837942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IFERROR(__xludf.DUMMYFUNCTION("IMPORTRANGE(""https://docs.google.com/spreadsheets/d/1XL5vhW3sbDhbH9Cz0tuDiY8C3ctxq1tqvaCgkFb8cCA/edit?usp=sharing"",""มหาสารคาม!M278"")"),166210.65)</f>
        <v>166210.65</v>
      </c>
      <c r="O383" s="165">
        <f t="shared" ca="1" si="109"/>
        <v>16.160176758837942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IFERROR(__xludf.DUMMYFUNCTION("IMPORTRANGE(""https://docs.google.com/spreadsheets/d/1XL5vhW3sbDhbH9Cz0tuDiY8C3ctxq1tqvaCgkFb8cCA/edit?usp=sharing"",""มหาสารคาม!M280"")"),166210.65)</f>
        <v>166210.65</v>
      </c>
      <c r="O385" s="169">
        <f t="shared" ca="1" si="109"/>
        <v>16.160176758837942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IFERROR(__xludf.DUMMYFUNCTION("IMPORTRANGE(""https://docs.google.com/spreadsheets/d/1XL5vhW3sbDhbH9Cz0tuDiY8C3ctxq1tqvaCgkFb8cCA/edit?usp=sharing"",""มหาสารคาม!M281"")"),77000)</f>
        <v>77000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IFERROR(__xludf.DUMMYFUNCTION("IMPORTRANGE(""https://docs.google.com/spreadsheets/d/1XL5vhW3sbDhbH9Cz0tuDiY8C3ctxq1tqvaCgkFb8cCA/edit?usp=sharing"",""มหาสารคาม!M283"")"),77580.65)</f>
        <v>77580.649999999994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IFERROR(__xludf.DUMMYFUNCTION("IMPORTRANGE(""https://docs.google.com/spreadsheets/d/1XL5vhW3sbDhbH9Cz0tuDiY8C3ctxq1tqvaCgkFb8cCA/edit?usp=sharing"",""มหาสารคาม!M284"")"),11630)</f>
        <v>11630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IFERROR(__xludf.DUMMYFUNCTION("IMPORTRANGE(""https://docs.google.com/spreadsheets/d/1XL5vhW3sbDhbH9Cz0tuDiY8C3ctxq1tqvaCgkFb8cCA/edit?usp=sharing"",""มหาสารคาม!M296"")"),106119)</f>
        <v>106119</v>
      </c>
      <c r="O401" s="373">
        <f ca="1">+IF(L401&gt;0,N401*100/L401,0)</f>
        <v>45.295799897558474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IFERROR(__xludf.DUMMYFUNCTION("IMPORTRANGE(""https://docs.google.com/spreadsheets/d/1XL5vhW3sbDhbH9Cz0tuDiY8C3ctxq1tqvaCgkFb8cCA/edit?usp=sharing"",""มหาสารคาม!M299"")"),106119)</f>
        <v>106119</v>
      </c>
      <c r="O404" s="169">
        <f t="shared" ca="1" si="112"/>
        <v>45.295799897558474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IFERROR(__xludf.DUMMYFUNCTION("IMPORTRANGE(""https://docs.google.com/spreadsheets/d/1XL5vhW3sbDhbH9Cz0tuDiY8C3ctxq1tqvaCgkFb8cCA/edit?usp=sharing"",""มหาสารคาม!M301"")"),106119)</f>
        <v>106119</v>
      </c>
      <c r="O406" s="169">
        <f t="shared" ca="1" si="112"/>
        <v>45.295799897558474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IFERROR(__xludf.DUMMYFUNCTION("IMPORTRANGE(""https://docs.google.com/spreadsheets/d/1XL5vhW3sbDhbH9Cz0tuDiY8C3ctxq1tqvaCgkFb8cCA/edit?usp=sharing"",""มหาสารคาม!M302"")"),95399)</f>
        <v>95399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IFERROR(__xludf.DUMMYFUNCTION("IMPORTRANGE(""https://docs.google.com/spreadsheets/d/1XL5vhW3sbDhbH9Cz0tuDiY8C3ctxq1tqvaCgkFb8cCA/edit?usp=sharing"",""มหาสารคาม!M305"")"),10720)</f>
        <v>10720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IFERROR(__xludf.DUMMYFUNCTION("IMPORTRANGE(""https://docs.google.com/spreadsheets/d/1XL5vhW3sbDhbH9Cz0tuDiY8C3ctxq1tqvaCgkFb8cCA/edit?usp=sharing"",""มหาสารคาม!L330"")"),101000)</f>
        <v>101000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IFERROR(__xludf.DUMMYFUNCTION("IMPORTRANGE(""https://docs.google.com/spreadsheets/d/1XL5vhW3sbDhbH9Cz0tuDiY8C3ctxq1tqvaCgkFb8cCA/edit?usp=sharing"",""มหาสารคาม!M330"")"),62906)</f>
        <v>62906</v>
      </c>
      <c r="O435" s="412">
        <f t="shared" ref="O435:O439" ca="1" si="114">+IF(L435&gt;0,N435*100/L435,0)</f>
        <v>62.283168316831684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IFERROR(__xludf.DUMMYFUNCTION("IMPORTRANGE(""https://docs.google.com/spreadsheets/d/1XL5vhW3sbDhbH9Cz0tuDiY8C3ctxq1tqvaCgkFb8cCA/edit?usp=sharing"",""มหาสารคาม!L332"")"),101000)</f>
        <v>101000</v>
      </c>
      <c r="M437" s="165"/>
      <c r="N437" s="169">
        <f ca="1">IFERROR(__xludf.DUMMYFUNCTION("IMPORTRANGE(""https://docs.google.com/spreadsheets/d/1XL5vhW3sbDhbH9Cz0tuDiY8C3ctxq1tqvaCgkFb8cCA/edit?usp=sharing"",""มหาสารคาม!M332"")"),62906)</f>
        <v>62906</v>
      </c>
      <c r="O437" s="169">
        <f t="shared" ca="1" si="114"/>
        <v>62.283168316831684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IFERROR(__xludf.DUMMYFUNCTION("IMPORTRANGE(""https://docs.google.com/spreadsheets/d/1XL5vhW3sbDhbH9Cz0tuDiY8C3ctxq1tqvaCgkFb8cCA/edit?usp=sharing"",""มหาสารคาม!L334"")"),101000)</f>
        <v>101000</v>
      </c>
      <c r="M439" s="169"/>
      <c r="N439" s="169">
        <f ca="1">IFERROR(__xludf.DUMMYFUNCTION("IMPORTRANGE(""https://docs.google.com/spreadsheets/d/1XL5vhW3sbDhbH9Cz0tuDiY8C3ctxq1tqvaCgkFb8cCA/edit?usp=sharing"",""มหาสารคาม!M334"")"),62906)</f>
        <v>62906</v>
      </c>
      <c r="O439" s="169">
        <f t="shared" ca="1" si="114"/>
        <v>62.283168316831684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IFERROR(__xludf.DUMMYFUNCTION("IMPORTRANGE(""https://docs.google.com/spreadsheets/d/1XL5vhW3sbDhbH9Cz0tuDiY8C3ctxq1tqvaCgkFb8cCA/edit?usp=sharing"",""มหาสารคาม!M335"")"),48986)</f>
        <v>48986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IFERROR(__xludf.DUMMYFUNCTION("IMPORTRANGE(""https://docs.google.com/spreadsheets/d/1XL5vhW3sbDhbH9Cz0tuDiY8C3ctxq1tqvaCgkFb8cCA/edit?usp=sharing"",""มหาสารคาม!M338"")"),13920)</f>
        <v>13920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IFERROR(__xludf.DUMMYFUNCTION("IMPORTRANGE(""https://docs.google.com/spreadsheets/d/1XL5vhW3sbDhbH9Cz0tuDiY8C3ctxq1tqvaCgkFb8cCA/edit?usp=sharing"",""มหาสารคาม!J350"")"),23199)</f>
        <v>23199</v>
      </c>
      <c r="K455" s="372">
        <f ca="1">IF(I455&gt;0,J455*100/I455,0)</f>
        <v>92.844279025093044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IFERROR(__xludf.DUMMYFUNCTION("IMPORTRANGE(""https://docs.google.com/spreadsheets/d/1XL5vhW3sbDhbH9Cz0tuDiY8C3ctxq1tqvaCgkFb8cCA/edit?usp=sharing"",""มหาสารคาม!M350"")"),56035.5)</f>
        <v>56035.5</v>
      </c>
      <c r="O455" s="373">
        <f t="shared" ref="O455:O459" ca="1" si="116">+IF(L455&gt;0,N455*100/L455,0)</f>
        <v>26.729775755234048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IFERROR(__xludf.DUMMYFUNCTION("IMPORTRANGE(""https://docs.google.com/spreadsheets/d/1XL5vhW3sbDhbH9Cz0tuDiY8C3ctxq1tqvaCgkFb8cCA/edit?usp=sharing"",""มหาสารคาม!L352"")"),209637)</f>
        <v>209637</v>
      </c>
      <c r="M457" s="165"/>
      <c r="N457" s="169">
        <f ca="1">IFERROR(__xludf.DUMMYFUNCTION("IMPORTRANGE(""https://docs.google.com/spreadsheets/d/1XL5vhW3sbDhbH9Cz0tuDiY8C3ctxq1tqvaCgkFb8cCA/edit?usp=sharing"",""มหาสารคาม!M352"")"),56035.5)</f>
        <v>56035.5</v>
      </c>
      <c r="O457" s="169">
        <f t="shared" ca="1" si="116"/>
        <v>26.729775755234048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IFERROR(__xludf.DUMMYFUNCTION("IMPORTRANGE(""https://docs.google.com/spreadsheets/d/1XL5vhW3sbDhbH9Cz0tuDiY8C3ctxq1tqvaCgkFb8cCA/edit?usp=sharing"",""มหาสารคาม!L354"")"),209637)</f>
        <v>209637</v>
      </c>
      <c r="M459" s="169"/>
      <c r="N459" s="169">
        <f ca="1">IFERROR(__xludf.DUMMYFUNCTION("IMPORTRANGE(""https://docs.google.com/spreadsheets/d/1XL5vhW3sbDhbH9Cz0tuDiY8C3ctxq1tqvaCgkFb8cCA/edit?usp=sharing"",""มหาสารคาม!M354"")"),56035.5)</f>
        <v>56035.5</v>
      </c>
      <c r="O459" s="169">
        <f t="shared" ca="1" si="116"/>
        <v>26.729775755234048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IFERROR(__xludf.DUMMYFUNCTION("IMPORTRANGE(""https://docs.google.com/spreadsheets/d/1XL5vhW3sbDhbH9Cz0tuDiY8C3ctxq1tqvaCgkFb8cCA/edit?usp=sharing"",""มหาสารคาม!M358"")"),56035.5)</f>
        <v>56035.5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IFERROR(__xludf.DUMMYFUNCTION("IMPORTRANGE(""https://docs.google.com/spreadsheets/d/1XL5vhW3sbDhbH9Cz0tuDiY8C3ctxq1tqvaCgkFb8cCA/edit?usp=sharing"",""มหาสารคาม!J359"")"),23199)</f>
        <v>23199</v>
      </c>
      <c r="K464" s="269">
        <f t="shared" ref="K464:K515" ca="1" si="117">IF(I464&gt;0,J464*100/I464,0)</f>
        <v>92.844279025093044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IFERROR(__xludf.DUMMYFUNCTION("IMPORTRANGE(""https://docs.google.com/spreadsheets/d/1XL5vhW3sbDhbH9Cz0tuDiY8C3ctxq1tqvaCgkFb8cCA/edit?usp=sharing"",""มหาสารคาม!J376"")"),23199)</f>
        <v>23199</v>
      </c>
      <c r="K481" s="202">
        <f t="shared" ca="1" si="117"/>
        <v>92.844279025093044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IFERROR(__xludf.DUMMYFUNCTION("IMPORTRANGE(""https://docs.google.com/spreadsheets/d/1XL5vhW3sbDhbH9Cz0tuDiY8C3ctxq1tqvaCgkFb8cCA/edit?usp=sharing"",""มหาสารคาม!J377"")"),2949)</f>
        <v>2949</v>
      </c>
      <c r="K482" s="202">
        <f t="shared" ca="1" si="117"/>
        <v>93.145925457991154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IFERROR(__xludf.DUMMYFUNCTION("IMPORTRANGE(""https://docs.google.com/spreadsheets/d/1XL5vhW3sbDhbH9Cz0tuDiY8C3ctxq1tqvaCgkFb8cCA/edit?usp=sharing"",""มหาสารคาม!J392"")"),76)</f>
        <v>76</v>
      </c>
      <c r="K497" s="444">
        <f t="shared" ca="1" si="117"/>
        <v>18.627450980392158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IFERROR(__xludf.DUMMYFUNCTION("IMPORTRANGE(""https://docs.google.com/spreadsheets/d/1XL5vhW3sbDhbH9Cz0tuDiY8C3ctxq1tqvaCgkFb8cCA/edit?usp=sharing"",""มหาสารคาม!J393"")"),76)</f>
        <v>76</v>
      </c>
      <c r="K498" s="202">
        <f t="shared" ca="1" si="117"/>
        <v>18.627450980392158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IFERROR(__xludf.DUMMYFUNCTION("IMPORTRANGE(""https://docs.google.com/spreadsheets/d/1XL5vhW3sbDhbH9Cz0tuDiY8C3ctxq1tqvaCgkFb8cCA/edit?usp=sharing"",""มหาสารคาม!J394"")"),10)</f>
        <v>10</v>
      </c>
      <c r="K499" s="202">
        <f t="shared" ca="1" si="117"/>
        <v>27.777777777777779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IFERROR(__xludf.DUMMYFUNCTION("IMPORTRANGE(""https://docs.google.com/spreadsheets/d/1XL5vhW3sbDhbH9Cz0tuDiY8C3ctxq1tqvaCgkFb8cCA/edit?usp=sharing"",""มหาสารคาม!J395"")"),67)</f>
        <v>67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IFERROR(__xludf.DUMMYFUNCTION("IMPORTRANGE(""https://docs.google.com/spreadsheets/d/1XL5vhW3sbDhbH9Cz0tuDiY8C3ctxq1tqvaCgkFb8cCA/edit?usp=sharing"",""มหาสารคาม!J396"")"),9)</f>
        <v>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IFERROR(__xludf.DUMMYFUNCTION("IMPORTRANGE(""https://docs.google.com/spreadsheets/d/1XL5vhW3sbDhbH9Cz0tuDiY8C3ctxq1tqvaCgkFb8cCA/edit?usp=sharing"",""มหาสารคาม!J397"")"),67)</f>
        <v>67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IFERROR(__xludf.DUMMYFUNCTION("IMPORTRANGE(""https://docs.google.com/spreadsheets/d/1XL5vhW3sbDhbH9Cz0tuDiY8C3ctxq1tqvaCgkFb8cCA/edit?usp=sharing"",""มหาสารคาม!J398"")"),9)</f>
        <v>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IFERROR(__xludf.DUMMYFUNCTION("IMPORTRANGE(""https://docs.google.com/spreadsheets/d/1XL5vhW3sbDhbH9Cz0tuDiY8C3ctxq1tqvaCgkFb8cCA/edit?usp=sharing"",""มหาสารคาม!J403"")"),9)</f>
        <v>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IFERROR(__xludf.DUMMYFUNCTION("IMPORTRANGE(""https://docs.google.com/spreadsheets/d/1XL5vhW3sbDhbH9Cz0tuDiY8C3ctxq1tqvaCgkFb8cCA/edit?usp=sharing"",""มหาสารคาม!J405"")"),9)</f>
        <v>9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IFERROR(__xludf.DUMMYFUNCTION("IMPORTRANGE(""https://docs.google.com/spreadsheets/d/1XL5vhW3sbDhbH9Cz0tuDiY8C3ctxq1tqvaCgkFb8cCA/edit?usp=sharing"",""มหาสารคาม!I420"")"),0)</f>
        <v>0</v>
      </c>
      <c r="J525" s="285">
        <f ca="1">IFERROR(__xludf.DUMMYFUNCTION("IMPORTRANGE(""https://docs.google.com/spreadsheets/d/1XL5vhW3sbDhbH9Cz0tuDiY8C3ctxq1tqvaCgkFb8cCA/edit?usp=sharing"",""มหาสารคาม!J420"")"),0)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IFERROR(__xludf.DUMMYFUNCTION("IMPORTRANGE(""https://docs.google.com/spreadsheets/d/1XL5vhW3sbDhbH9Cz0tuDiY8C3ctxq1tqvaCgkFb8cCA/edit?usp=sharing"",""มหาสารคาม!I421"")"),0)</f>
        <v>0</v>
      </c>
      <c r="J526" s="285">
        <f ca="1">IFERROR(__xludf.DUMMYFUNCTION("IMPORTRANGE(""https://docs.google.com/spreadsheets/d/1XL5vhW3sbDhbH9Cz0tuDiY8C3ctxq1tqvaCgkFb8cCA/edit?usp=sharing"",""มหาสารคาม!J421"")"),0)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IFERROR(__xludf.DUMMYFUNCTION("IMPORTRANGE(""https://docs.google.com/spreadsheets/d/1XL5vhW3sbDhbH9Cz0tuDiY8C3ctxq1tqvaCgkFb8cCA/edit?usp=sharing"",""มหาสารคาม!M428"")"),27480)</f>
        <v>27480</v>
      </c>
      <c r="O533" s="412">
        <f t="shared" ref="O533:O537" ca="1" si="118">+IF(L533&gt;0,N533*100/L533,0)</f>
        <v>80.023296447291784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IFERROR(__xludf.DUMMYFUNCTION("IMPORTRANGE(""https://docs.google.com/spreadsheets/d/1XL5vhW3sbDhbH9Cz0tuDiY8C3ctxq1tqvaCgkFb8cCA/edit?usp=sharing"",""มหาสารคาม!M430"")"),27480)</f>
        <v>27480</v>
      </c>
      <c r="O535" s="169">
        <f t="shared" ca="1" si="118"/>
        <v>80.023296447291784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IFERROR(__xludf.DUMMYFUNCTION("IMPORTRANGE(""https://docs.google.com/spreadsheets/d/1XL5vhW3sbDhbH9Cz0tuDiY8C3ctxq1tqvaCgkFb8cCA/edit?usp=sharing"",""มหาสารคาม!M432"")"),27480)</f>
        <v>27480</v>
      </c>
      <c r="O537" s="169">
        <f t="shared" ca="1" si="118"/>
        <v>80.023296447291784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IFERROR(__xludf.DUMMYFUNCTION("IMPORTRANGE(""https://docs.google.com/spreadsheets/d/1XL5vhW3sbDhbH9Cz0tuDiY8C3ctxq1tqvaCgkFb8cCA/edit?usp=sharing"",""มหาสารคาม!M436"")"),8870)</f>
        <v>8870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IFERROR(__xludf.DUMMYFUNCTION("IMPORTRANGE(""https://docs.google.com/spreadsheets/d/1XL5vhW3sbDhbH9Cz0tuDiY8C3ctxq1tqvaCgkFb8cCA/edit?usp=sharing"",""มหาสารคาม!J459"")"),1935)</f>
        <v>1935</v>
      </c>
      <c r="K564" s="372">
        <f ca="1">IF(I564&gt;0,J564*100/I564,0)</f>
        <v>203.68421052631578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IFERROR(__xludf.DUMMYFUNCTION("IMPORTRANGE(""https://docs.google.com/spreadsheets/d/1XL5vhW3sbDhbH9Cz0tuDiY8C3ctxq1tqvaCgkFb8cCA/edit?usp=sharing"",""มหาสารคาม!M459"")"),91015.48)</f>
        <v>91015.48</v>
      </c>
      <c r="O564" s="373">
        <f t="shared" ref="O564:O568" ca="1" si="122">+IF(L564&gt;0,N564*100/L564,0)</f>
        <v>72.188673857868025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IFERROR(__xludf.DUMMYFUNCTION("IMPORTRANGE(""https://docs.google.com/spreadsheets/d/1XL5vhW3sbDhbH9Cz0tuDiY8C3ctxq1tqvaCgkFb8cCA/edit?usp=sharing"",""มหาสารคาม!M461"")"),91015.48)</f>
        <v>91015.48</v>
      </c>
      <c r="O566" s="169">
        <f t="shared" ca="1" si="122"/>
        <v>72.188673857868025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IFERROR(__xludf.DUMMYFUNCTION("IMPORTRANGE(""https://docs.google.com/spreadsheets/d/1XL5vhW3sbDhbH9Cz0tuDiY8C3ctxq1tqvaCgkFb8cCA/edit?usp=sharing"",""มหาสารคาม!M463"")"),91015.48)</f>
        <v>91015.48</v>
      </c>
      <c r="O568" s="169">
        <f t="shared" ca="1" si="122"/>
        <v>72.188673857868025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IFERROR(__xludf.DUMMYFUNCTION("IMPORTRANGE(""https://docs.google.com/spreadsheets/d/1XL5vhW3sbDhbH9Cz0tuDiY8C3ctxq1tqvaCgkFb8cCA/edit?usp=sharing"",""มหาสารคาม!M466"")"),77935.48)</f>
        <v>77935.48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IFERROR(__xludf.DUMMYFUNCTION("IMPORTRANGE(""https://docs.google.com/spreadsheets/d/1XL5vhW3sbDhbH9Cz0tuDiY8C3ctxq1tqvaCgkFb8cCA/edit?usp=sharing"",""มหาสารคาม!J468"")"),1935)</f>
        <v>1935</v>
      </c>
      <c r="K573" s="202">
        <f ca="1">IF(I573&gt;0,J573*100/I573,0)</f>
        <v>203.68421052631578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IFERROR(__xludf.DUMMYFUNCTION("IMPORTRANGE(""https://docs.google.com/spreadsheets/d/1XL5vhW3sbDhbH9Cz0tuDiY8C3ctxq1tqvaCgkFb8cCA/edit?usp=sharing"",""มหาสารคาม!J471"")"),50)</f>
        <v>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IFERROR(__xludf.DUMMYFUNCTION("IMPORTRANGE(""https://docs.google.com/spreadsheets/d/1XL5vhW3sbDhbH9Cz0tuDiY8C3ctxq1tqvaCgkFb8cCA/edit?usp=sharing"",""มหาสารคาม!J472"")"),1885)</f>
        <v>1885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8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8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8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8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8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8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8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IFERROR(__xludf.DUMMYFUNCTION("IMPORTRANGE(""https://docs.google.com/spreadsheets/d/1XL5vhW3sbDhbH9Cz0tuDiY8C3ctxq1tqvaCgkFb8cCA/edit?usp=sharing"",""มหาสารคาม!L494"")"),15300)</f>
        <v>15300</v>
      </c>
      <c r="M599" s="165"/>
      <c r="N599" s="169">
        <f ca="1">IFERROR(__xludf.DUMMYFUNCTION("IMPORTRANGE(""https://docs.google.com/spreadsheets/d/1XL5vhW3sbDhbH9Cz0tuDiY8C3ctxq1tqvaCgkFb8cCA/edit?usp=sharing"",""มหาสารคาม!M494"")"),6200)</f>
        <v>6200</v>
      </c>
      <c r="O599" s="169">
        <f t="shared" ca="1" si="126"/>
        <v>40.522875816993462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IFERROR(__xludf.DUMMYFUNCTION("IMPORTRANGE(""https://docs.google.com/spreadsheets/d/1XL5vhW3sbDhbH9Cz0tuDiY8C3ctxq1tqvaCgkFb8cCA/edit?usp=sharing"",""มหาสารคาม!L496"")"),15300)</f>
        <v>15300</v>
      </c>
      <c r="M601" s="169"/>
      <c r="N601" s="169">
        <f ca="1">IFERROR(__xludf.DUMMYFUNCTION("IMPORTRANGE(""https://docs.google.com/spreadsheets/d/1XL5vhW3sbDhbH9Cz0tuDiY8C3ctxq1tqvaCgkFb8cCA/edit?usp=sharing"",""มหาสารคาม!M496"")"),6200)</f>
        <v>6200</v>
      </c>
      <c r="O601" s="169">
        <f t="shared" ca="1" si="126"/>
        <v>40.522875816993462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8"/>
      <c r="B609" s="629"/>
      <c r="C609" s="629"/>
      <c r="D609" s="630"/>
      <c r="E609" s="631" t="s">
        <v>46</v>
      </c>
      <c r="F609" s="632"/>
      <c r="G609" s="633"/>
      <c r="H609" s="634"/>
      <c r="I609" s="635"/>
      <c r="J609" s="635">
        <f ca="1">IFERROR(__xludf.DUMMYFUNCTION("IMPORTRANGE(""https://docs.google.com/spreadsheets/d/1XL5vhW3sbDhbH9Cz0tuDiY8C3ctxq1tqvaCgkFb8cCA/edit?usp=sharing"",""มหาสารคาม!J166"")"),0)</f>
        <v>0</v>
      </c>
      <c r="K609" s="636"/>
      <c r="L609" s="637"/>
      <c r="M609" s="637"/>
      <c r="N609" s="637"/>
      <c r="O609" s="637"/>
      <c r="P609" s="637"/>
    </row>
    <row r="610" spans="1:16" ht="21.75" hidden="1" customHeight="1" x14ac:dyDescent="0.25">
      <c r="A610" s="628"/>
      <c r="B610" s="629"/>
      <c r="C610" s="629"/>
      <c r="D610" s="630"/>
      <c r="E610" s="631" t="s">
        <v>47</v>
      </c>
      <c r="F610" s="632"/>
      <c r="G610" s="633"/>
      <c r="H610" s="634"/>
      <c r="I610" s="635"/>
      <c r="J610" s="635">
        <f ca="1">IFERROR(__xludf.DUMMYFUNCTION("IMPORTRANGE(""https://docs.google.com/spreadsheets/d/1XL5vhW3sbDhbH9Cz0tuDiY8C3ctxq1tqvaCgkFb8cCA/edit?usp=sharing"",""มหาสารคาม!J166"")"),0)</f>
        <v>0</v>
      </c>
      <c r="K610" s="636"/>
      <c r="L610" s="637"/>
      <c r="M610" s="637"/>
      <c r="N610" s="637"/>
      <c r="O610" s="637"/>
      <c r="P610" s="637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1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1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1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1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1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1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25">
      <c r="A628" s="478"/>
      <c r="B628" s="499" t="s">
        <v>233</v>
      </c>
      <c r="C628" s="159"/>
      <c r="D628" s="166"/>
      <c r="E628" s="167"/>
      <c r="F628" s="167"/>
      <c r="G628" s="160"/>
      <c r="H628" s="500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IFERROR(__xludf.DUMMYFUNCTION("IMPORTRANGE(""https://docs.google.com/spreadsheets/d/1XL5vhW3sbDhbH9Cz0tuDiY8C3ctxq1tqvaCgkFb8cCA/edit?usp=sharing"",""มหาสารคาม!J523"")"),7538153.96)</f>
        <v>7538153.96</v>
      </c>
      <c r="K628" s="343">
        <f t="shared" ref="K628:K635" ca="1" si="129">IF(I628&gt;0,J628*100/I628,0)</f>
        <v>50.641651656378109</v>
      </c>
      <c r="L628" s="343"/>
      <c r="M628" s="343"/>
      <c r="N628" s="343"/>
      <c r="O628" s="169"/>
      <c r="P628" s="169"/>
    </row>
    <row r="629" spans="1:16" ht="21.75" customHeight="1" x14ac:dyDescent="0.25">
      <c r="A629" s="478"/>
      <c r="B629" s="159"/>
      <c r="C629" s="159"/>
      <c r="D629" s="166"/>
      <c r="E629" s="167"/>
      <c r="F629" s="167"/>
      <c r="G629" s="160"/>
      <c r="H629" s="500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IFERROR(__xludf.DUMMYFUNCTION("IMPORTRANGE(""https://docs.google.com/spreadsheets/d/1XL5vhW3sbDhbH9Cz0tuDiY8C3ctxq1tqvaCgkFb8cCA/edit?usp=sharing"",""มหาสารคาม!J524"")"),693)</f>
        <v>693</v>
      </c>
      <c r="K629" s="343">
        <f t="shared" ca="1" si="129"/>
        <v>46.603900470746467</v>
      </c>
      <c r="L629" s="343"/>
      <c r="M629" s="343"/>
      <c r="N629" s="343"/>
      <c r="O629" s="169"/>
      <c r="P629" s="169"/>
    </row>
    <row r="630" spans="1:16" ht="21.75" customHeight="1" x14ac:dyDescent="0.25">
      <c r="A630" s="478"/>
      <c r="B630" s="499" t="s">
        <v>234</v>
      </c>
      <c r="C630" s="159"/>
      <c r="D630" s="166"/>
      <c r="E630" s="167"/>
      <c r="F630" s="167"/>
      <c r="G630" s="160"/>
      <c r="H630" s="500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IFERROR(__xludf.DUMMYFUNCTION("IMPORTRANGE(""https://docs.google.com/spreadsheets/d/1XL5vhW3sbDhbH9Cz0tuDiY8C3ctxq1tqvaCgkFb8cCA/edit?usp=sharing"",""มหาสารคาม!J525"")"),1640338.86)</f>
        <v>1640338.86</v>
      </c>
      <c r="K630" s="343">
        <f t="shared" ca="1" si="129"/>
        <v>24.706812186197368</v>
      </c>
      <c r="L630" s="343"/>
      <c r="M630" s="343"/>
      <c r="N630" s="343"/>
      <c r="O630" s="169"/>
      <c r="P630" s="169"/>
    </row>
    <row r="631" spans="1:16" ht="21.75" customHeight="1" x14ac:dyDescent="0.25">
      <c r="A631" s="478"/>
      <c r="B631" s="159"/>
      <c r="C631" s="159"/>
      <c r="D631" s="166"/>
      <c r="E631" s="167"/>
      <c r="F631" s="167"/>
      <c r="G631" s="160"/>
      <c r="H631" s="500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IFERROR(__xludf.DUMMYFUNCTION("IMPORTRANGE(""https://docs.google.com/spreadsheets/d/1XL5vhW3sbDhbH9Cz0tuDiY8C3ctxq1tqvaCgkFb8cCA/edit?usp=sharing"",""มหาสารคาม!J526"")"),142)</f>
        <v>142</v>
      </c>
      <c r="K631" s="343">
        <f t="shared" ca="1" si="129"/>
        <v>47.333333333333336</v>
      </c>
      <c r="L631" s="343"/>
      <c r="M631" s="343"/>
      <c r="N631" s="343"/>
      <c r="O631" s="169"/>
      <c r="P631" s="169"/>
    </row>
    <row r="632" spans="1:16" ht="21.75" customHeight="1" x14ac:dyDescent="0.25">
      <c r="A632" s="478"/>
      <c r="B632" s="499" t="s">
        <v>235</v>
      </c>
      <c r="C632" s="159"/>
      <c r="D632" s="166"/>
      <c r="E632" s="167"/>
      <c r="F632" s="167"/>
      <c r="G632" s="160"/>
      <c r="H632" s="500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8"/>
      <c r="B633" s="499"/>
      <c r="C633" s="159"/>
      <c r="D633" s="166"/>
      <c r="E633" s="167"/>
      <c r="F633" s="167"/>
      <c r="G633" s="160"/>
      <c r="H633" s="500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8"/>
      <c r="B634" s="499" t="s">
        <v>236</v>
      </c>
      <c r="C634" s="159"/>
      <c r="D634" s="166"/>
      <c r="E634" s="167"/>
      <c r="F634" s="167"/>
      <c r="G634" s="160"/>
      <c r="H634" s="500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IFERROR(__xludf.DUMMYFUNCTION("IMPORTRANGE(""https://docs.google.com/spreadsheets/d/1XL5vhW3sbDhbH9Cz0tuDiY8C3ctxq1tqvaCgkFb8cCA/edit?usp=sharing"",""มหาสารคาม!J529"")"),6400000)</f>
        <v>6400000</v>
      </c>
      <c r="K634" s="343">
        <f t="shared" ca="1" si="129"/>
        <v>32</v>
      </c>
      <c r="L634" s="343"/>
      <c r="M634" s="343"/>
      <c r="N634" s="343"/>
      <c r="O634" s="169"/>
      <c r="P634" s="169"/>
    </row>
    <row r="635" spans="1:16" ht="21.75" customHeight="1" x14ac:dyDescent="0.25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IFERROR(__xludf.DUMMYFUNCTION("IMPORTRANGE(""https://docs.google.com/spreadsheets/d/1XL5vhW3sbDhbH9Cz0tuDiY8C3ctxq1tqvaCgkFb8cCA/edit?usp=sharing"",""มหาสารคาม!J530"")"),128)</f>
        <v>128</v>
      </c>
      <c r="K635" s="486">
        <f t="shared" ca="1" si="129"/>
        <v>32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646" t="s">
        <v>237</v>
      </c>
      <c r="C636" s="647"/>
      <c r="D636" s="647"/>
      <c r="E636" s="647"/>
      <c r="F636" s="647"/>
      <c r="G636" s="648"/>
      <c r="H636" s="507"/>
      <c r="I636" s="557"/>
      <c r="J636" s="557"/>
      <c r="K636" s="558"/>
      <c r="L636" s="559">
        <f ca="1">SUM(L637,L638)</f>
        <v>0</v>
      </c>
      <c r="M636" s="560"/>
      <c r="N636" s="559">
        <f ca="1">SUM(N637:N638)</f>
        <v>0</v>
      </c>
      <c r="O636" s="559">
        <f t="shared" ref="O636:O640" ca="1" si="130">+IF(L636&gt;0,N636*100/L636,0)</f>
        <v>0</v>
      </c>
      <c r="P636" s="559"/>
    </row>
    <row r="637" spans="1:16" ht="21.75" customHeight="1" x14ac:dyDescent="0.3">
      <c r="A637" s="561"/>
      <c r="B637" s="562"/>
      <c r="C637" s="563" t="s">
        <v>16</v>
      </c>
      <c r="D637" s="677" t="s">
        <v>77</v>
      </c>
      <c r="E637" s="641"/>
      <c r="F637" s="641"/>
      <c r="G637" s="564" t="s">
        <v>18</v>
      </c>
      <c r="H637" s="565" t="s">
        <v>12</v>
      </c>
      <c r="I637" s="566"/>
      <c r="J637" s="567"/>
      <c r="K637" s="568"/>
      <c r="L637" s="569">
        <v>0</v>
      </c>
      <c r="M637" s="570"/>
      <c r="N637" s="571">
        <v>0</v>
      </c>
      <c r="O637" s="571">
        <f t="shared" si="130"/>
        <v>0</v>
      </c>
      <c r="P637" s="571"/>
    </row>
    <row r="638" spans="1:16" ht="21.75" customHeight="1" x14ac:dyDescent="0.3">
      <c r="A638" s="561"/>
      <c r="B638" s="562"/>
      <c r="C638" s="562"/>
      <c r="D638" s="562"/>
      <c r="E638" s="562"/>
      <c r="F638" s="562"/>
      <c r="G638" s="564" t="s">
        <v>19</v>
      </c>
      <c r="H638" s="565" t="s">
        <v>12</v>
      </c>
      <c r="I638" s="566"/>
      <c r="J638" s="567"/>
      <c r="K638" s="568"/>
      <c r="L638" s="569">
        <f ca="1">SUM(L639:L640)</f>
        <v>0</v>
      </c>
      <c r="M638" s="570"/>
      <c r="N638" s="571">
        <f ca="1">SUM(N639:N640)</f>
        <v>0</v>
      </c>
      <c r="O638" s="571">
        <f t="shared" ca="1" si="130"/>
        <v>0</v>
      </c>
      <c r="P638" s="571"/>
    </row>
    <row r="639" spans="1:16" ht="21.75" customHeight="1" x14ac:dyDescent="0.3">
      <c r="A639" s="561"/>
      <c r="B639" s="562"/>
      <c r="C639" s="562"/>
      <c r="D639" s="562"/>
      <c r="E639" s="562"/>
      <c r="F639" s="562"/>
      <c r="G639" s="564" t="s">
        <v>21</v>
      </c>
      <c r="H639" s="565" t="s">
        <v>12</v>
      </c>
      <c r="I639" s="567"/>
      <c r="J639" s="567"/>
      <c r="K639" s="568"/>
      <c r="L639" s="571">
        <v>0</v>
      </c>
      <c r="M639" s="570"/>
      <c r="N639" s="571">
        <v>0</v>
      </c>
      <c r="O639" s="571">
        <f t="shared" si="130"/>
        <v>0</v>
      </c>
      <c r="P639" s="571"/>
    </row>
    <row r="640" spans="1:16" ht="21.75" customHeight="1" x14ac:dyDescent="0.3">
      <c r="A640" s="561"/>
      <c r="B640" s="562"/>
      <c r="C640" s="562"/>
      <c r="D640" s="562"/>
      <c r="E640" s="562"/>
      <c r="F640" s="562"/>
      <c r="G640" s="564" t="s">
        <v>22</v>
      </c>
      <c r="H640" s="565" t="s">
        <v>12</v>
      </c>
      <c r="I640" s="567"/>
      <c r="J640" s="567"/>
      <c r="K640" s="568"/>
      <c r="L640" s="571">
        <f ca="1">L648+L649+L650+L651+L661+L665+L668+L671</f>
        <v>0</v>
      </c>
      <c r="M640" s="570"/>
      <c r="N640" s="571">
        <f ca="1">SUM(N641:N644)</f>
        <v>0</v>
      </c>
      <c r="O640" s="571">
        <f t="shared" ca="1" si="130"/>
        <v>0</v>
      </c>
      <c r="P640" s="571"/>
    </row>
    <row r="641" spans="1:16" ht="21.75" customHeight="1" x14ac:dyDescent="0.3">
      <c r="A641" s="561"/>
      <c r="B641" s="562"/>
      <c r="C641" s="562"/>
      <c r="D641" s="562"/>
      <c r="E641" s="562"/>
      <c r="F641" s="562"/>
      <c r="G641" s="564" t="s">
        <v>238</v>
      </c>
      <c r="H641" s="565" t="s">
        <v>12</v>
      </c>
      <c r="I641" s="572"/>
      <c r="J641" s="572"/>
      <c r="K641" s="573"/>
      <c r="L641" s="573"/>
      <c r="M641" s="570"/>
      <c r="N641" s="571">
        <v>0</v>
      </c>
      <c r="O641" s="573"/>
      <c r="P641" s="573"/>
    </row>
    <row r="642" spans="1:16" ht="21.75" customHeight="1" x14ac:dyDescent="0.3">
      <c r="A642" s="561"/>
      <c r="B642" s="562"/>
      <c r="C642" s="562"/>
      <c r="D642" s="562"/>
      <c r="E642" s="562"/>
      <c r="F642" s="562"/>
      <c r="G642" s="564" t="s">
        <v>239</v>
      </c>
      <c r="H642" s="565" t="s">
        <v>12</v>
      </c>
      <c r="I642" s="572"/>
      <c r="J642" s="572"/>
      <c r="K642" s="573"/>
      <c r="L642" s="573"/>
      <c r="M642" s="570"/>
      <c r="N642" s="571">
        <v>0</v>
      </c>
      <c r="O642" s="573"/>
      <c r="P642" s="573"/>
    </row>
    <row r="643" spans="1:16" ht="21.75" customHeight="1" x14ac:dyDescent="0.3">
      <c r="A643" s="561"/>
      <c r="B643" s="562"/>
      <c r="C643" s="562"/>
      <c r="D643" s="562"/>
      <c r="E643" s="562"/>
      <c r="F643" s="562"/>
      <c r="G643" s="564" t="s">
        <v>240</v>
      </c>
      <c r="H643" s="565" t="s">
        <v>12</v>
      </c>
      <c r="I643" s="572"/>
      <c r="J643" s="572"/>
      <c r="K643" s="573"/>
      <c r="L643" s="573"/>
      <c r="M643" s="570"/>
      <c r="N643" s="571">
        <v>0</v>
      </c>
      <c r="O643" s="573"/>
      <c r="P643" s="573"/>
    </row>
    <row r="644" spans="1:16" ht="21.75" customHeight="1" x14ac:dyDescent="0.3">
      <c r="A644" s="561"/>
      <c r="B644" s="562"/>
      <c r="C644" s="562"/>
      <c r="D644" s="562"/>
      <c r="E644" s="562"/>
      <c r="F644" s="562"/>
      <c r="G644" s="564" t="s">
        <v>241</v>
      </c>
      <c r="H644" s="565" t="s">
        <v>12</v>
      </c>
      <c r="I644" s="574"/>
      <c r="J644" s="572"/>
      <c r="K644" s="573"/>
      <c r="L644" s="573"/>
      <c r="M644" s="570"/>
      <c r="N644" s="571">
        <f ca="1">N648+N649+N650+N651+N661+N665+N668+N671</f>
        <v>0</v>
      </c>
      <c r="O644" s="573"/>
      <c r="P644" s="573"/>
    </row>
    <row r="645" spans="1:16" ht="21.75" customHeight="1" x14ac:dyDescent="0.3">
      <c r="A645" s="575"/>
      <c r="B645" s="576"/>
      <c r="C645" s="563" t="s">
        <v>16</v>
      </c>
      <c r="D645" s="678" t="s">
        <v>242</v>
      </c>
      <c r="E645" s="641"/>
      <c r="F645" s="641"/>
      <c r="G645" s="676"/>
      <c r="H645" s="577"/>
      <c r="I645" s="567"/>
      <c r="J645" s="567"/>
      <c r="K645" s="568"/>
      <c r="L645" s="570"/>
      <c r="M645" s="570"/>
      <c r="N645" s="570"/>
      <c r="O645" s="568"/>
      <c r="P645" s="568"/>
    </row>
    <row r="646" spans="1:16" ht="21.75" customHeight="1" x14ac:dyDescent="0.3">
      <c r="A646" s="575"/>
      <c r="B646" s="576"/>
      <c r="C646" s="576"/>
      <c r="D646" s="578">
        <v>1</v>
      </c>
      <c r="E646" s="679" t="s">
        <v>44</v>
      </c>
      <c r="F646" s="641"/>
      <c r="G646" s="676"/>
      <c r="H646" s="579"/>
      <c r="I646" s="580"/>
      <c r="J646" s="581">
        <f ca="1">IFERROR(__xludf.DUMMYFUNCTION("IMPORTRANGE(""https://docs.google.com/spreadsheets/d/1XL5vhW3sbDhbH9Cz0tuDiY8C3ctxq1tqvaCgkFb8cCA/edit#gid=346597447"",""มหาสารคาม!J541"")"),0)</f>
        <v>0</v>
      </c>
      <c r="K646" s="568"/>
      <c r="L646" s="570"/>
      <c r="M646" s="570"/>
      <c r="N646" s="582"/>
      <c r="O646" s="568"/>
      <c r="P646" s="568"/>
    </row>
    <row r="647" spans="1:16" ht="21.75" customHeight="1" x14ac:dyDescent="0.3">
      <c r="A647" s="575"/>
      <c r="B647" s="576"/>
      <c r="C647" s="576"/>
      <c r="D647" s="583">
        <v>2</v>
      </c>
      <c r="E647" s="680" t="s">
        <v>243</v>
      </c>
      <c r="F647" s="641"/>
      <c r="G647" s="676"/>
      <c r="H647" s="579"/>
      <c r="I647" s="580"/>
      <c r="J647" s="581">
        <f ca="1">IFERROR(__xludf.DUMMYFUNCTION("IMPORTRANGE(""https://docs.google.com/spreadsheets/d/1XL5vhW3sbDhbH9Cz0tuDiY8C3ctxq1tqvaCgkFb8cCA/edit#gid=346597447"",""มหาสารคาม!J542"")"),0)</f>
        <v>0</v>
      </c>
      <c r="K647" s="568"/>
      <c r="L647" s="570"/>
      <c r="M647" s="570"/>
      <c r="N647" s="570"/>
      <c r="O647" s="568"/>
      <c r="P647" s="568"/>
    </row>
    <row r="648" spans="1:16" ht="21.75" customHeight="1" x14ac:dyDescent="0.3">
      <c r="A648" s="561"/>
      <c r="B648" s="562"/>
      <c r="C648" s="562"/>
      <c r="D648" s="562"/>
      <c r="E648" s="562"/>
      <c r="F648" s="675" t="s">
        <v>244</v>
      </c>
      <c r="G648" s="676"/>
      <c r="H648" s="565" t="s">
        <v>122</v>
      </c>
      <c r="I648" s="584">
        <f ca="1">IFERROR(__xludf.DUMMYFUNCTION("IMPORTRANGE(""https://docs.google.com/spreadsheets/d/1XL5vhW3sbDhbH9Cz0tuDiY8C3ctxq1tqvaCgkFb8cCA/edit#gid=346597447"",""มหาสารคาม!I543"")"),0)</f>
        <v>0</v>
      </c>
      <c r="J648" s="585">
        <f ca="1">IFERROR(__xludf.DUMMYFUNCTION("IMPORTRANGE(""https://docs.google.com/spreadsheets/d/1XL5vhW3sbDhbH9Cz0tuDiY8C3ctxq1tqvaCgkFb8cCA/edit#gid=346597447"",""มหาสารคาม!J543"")"),0)</f>
        <v>0</v>
      </c>
      <c r="K648" s="586">
        <f t="shared" ref="K648:K651" ca="1" si="131">IF(I648&gt;0,J648*100/I648,0)</f>
        <v>0</v>
      </c>
      <c r="L648" s="571">
        <f ca="1">IFERROR(__xludf.DUMMYFUNCTION("IMPORTRANGE(""https://docs.google.com/spreadsheets/d/1XL5vhW3sbDhbH9Cz0tuDiY8C3ctxq1tqvaCgkFb8cCA/edit#gid=346597447"",""มหาสารคาม!L543"")"),0)</f>
        <v>0</v>
      </c>
      <c r="M648" s="570"/>
      <c r="N648" s="587">
        <f ca="1">IFERROR(__xludf.DUMMYFUNCTION("IMPORTRANGE(""https://docs.google.com/spreadsheets/d/1XL5vhW3sbDhbH9Cz0tuDiY8C3ctxq1tqvaCgkFb8cCA/edit#gid=346597447"",""มหาสารคาม!M543"")"),0)</f>
        <v>0</v>
      </c>
      <c r="O648" s="586">
        <f t="shared" ref="O648:O651" ca="1" si="132">IF(L648&gt;0,N648*100/L648,0)</f>
        <v>0</v>
      </c>
      <c r="P648" s="586"/>
    </row>
    <row r="649" spans="1:16" ht="21.75" customHeight="1" x14ac:dyDescent="0.3">
      <c r="A649" s="561"/>
      <c r="B649" s="562"/>
      <c r="C649" s="562"/>
      <c r="D649" s="562"/>
      <c r="E649" s="562"/>
      <c r="F649" s="675" t="s">
        <v>245</v>
      </c>
      <c r="G649" s="676"/>
      <c r="H649" s="565" t="s">
        <v>37</v>
      </c>
      <c r="I649" s="584">
        <f ca="1">IFERROR(__xludf.DUMMYFUNCTION("IMPORTRANGE(""https://docs.google.com/spreadsheets/d/1XL5vhW3sbDhbH9Cz0tuDiY8C3ctxq1tqvaCgkFb8cCA/edit#gid=346597447"",""มหาสารคาม!I544"")"),0)</f>
        <v>0</v>
      </c>
      <c r="J649" s="585">
        <f ca="1">IFERROR(__xludf.DUMMYFUNCTION("IMPORTRANGE(""https://docs.google.com/spreadsheets/d/1XL5vhW3sbDhbH9Cz0tuDiY8C3ctxq1tqvaCgkFb8cCA/edit#gid=346597447"",""มหาสารคาม!J544"")"),0)</f>
        <v>0</v>
      </c>
      <c r="K649" s="586">
        <f t="shared" ca="1" si="131"/>
        <v>0</v>
      </c>
      <c r="L649" s="571">
        <f ca="1">IFERROR(__xludf.DUMMYFUNCTION("IMPORTRANGE(""https://docs.google.com/spreadsheets/d/1XL5vhW3sbDhbH9Cz0tuDiY8C3ctxq1tqvaCgkFb8cCA/edit#gid=346597447"",""มหาสารคาม!L544"")"),0)</f>
        <v>0</v>
      </c>
      <c r="M649" s="570"/>
      <c r="N649" s="587">
        <f ca="1">IFERROR(__xludf.DUMMYFUNCTION("IMPORTRANGE(""https://docs.google.com/spreadsheets/d/1XL5vhW3sbDhbH9Cz0tuDiY8C3ctxq1tqvaCgkFb8cCA/edit#gid=346597447"",""มหาสารคาม!M544"")"),0)</f>
        <v>0</v>
      </c>
      <c r="O649" s="586">
        <f t="shared" ca="1" si="132"/>
        <v>0</v>
      </c>
      <c r="P649" s="586"/>
    </row>
    <row r="650" spans="1:16" ht="21.75" customHeight="1" x14ac:dyDescent="0.3">
      <c r="A650" s="561"/>
      <c r="B650" s="562"/>
      <c r="C650" s="562"/>
      <c r="D650" s="562"/>
      <c r="E650" s="562"/>
      <c r="F650" s="675" t="s">
        <v>246</v>
      </c>
      <c r="G650" s="676"/>
      <c r="H650" s="565" t="s">
        <v>122</v>
      </c>
      <c r="I650" s="584">
        <f ca="1">IFERROR(__xludf.DUMMYFUNCTION("IMPORTRANGE(""https://docs.google.com/spreadsheets/d/1XL5vhW3sbDhbH9Cz0tuDiY8C3ctxq1tqvaCgkFb8cCA/edit#gid=346597447"",""มหาสารคาม!I545"")"),0)</f>
        <v>0</v>
      </c>
      <c r="J650" s="585">
        <f ca="1">IFERROR(__xludf.DUMMYFUNCTION("IMPORTRANGE(""https://docs.google.com/spreadsheets/d/1XL5vhW3sbDhbH9Cz0tuDiY8C3ctxq1tqvaCgkFb8cCA/edit#gid=346597447"",""มหาสารคาม!J545"")"),0)</f>
        <v>0</v>
      </c>
      <c r="K650" s="586">
        <f t="shared" ca="1" si="131"/>
        <v>0</v>
      </c>
      <c r="L650" s="571">
        <f ca="1">IFERROR(__xludf.DUMMYFUNCTION("IMPORTRANGE(""https://docs.google.com/spreadsheets/d/1XL5vhW3sbDhbH9Cz0tuDiY8C3ctxq1tqvaCgkFb8cCA/edit#gid=346597447"",""มหาสารคาม!L545"")"),0)</f>
        <v>0</v>
      </c>
      <c r="M650" s="570"/>
      <c r="N650" s="587">
        <f ca="1">IFERROR(__xludf.DUMMYFUNCTION("IMPORTRANGE(""https://docs.google.com/spreadsheets/d/1XL5vhW3sbDhbH9Cz0tuDiY8C3ctxq1tqvaCgkFb8cCA/edit#gid=346597447"",""มหาสารคาม!M545"")"),0)</f>
        <v>0</v>
      </c>
      <c r="O650" s="586">
        <f t="shared" ca="1" si="132"/>
        <v>0</v>
      </c>
      <c r="P650" s="586"/>
    </row>
    <row r="651" spans="1:16" ht="21.75" customHeight="1" x14ac:dyDescent="0.3">
      <c r="A651" s="561"/>
      <c r="B651" s="562"/>
      <c r="C651" s="562"/>
      <c r="D651" s="562"/>
      <c r="E651" s="562"/>
      <c r="F651" s="675" t="s">
        <v>247</v>
      </c>
      <c r="G651" s="676"/>
      <c r="H651" s="565" t="s">
        <v>122</v>
      </c>
      <c r="I651" s="584">
        <f ca="1">IFERROR(__xludf.DUMMYFUNCTION("IMPORTRANGE(""https://docs.google.com/spreadsheets/d/1XL5vhW3sbDhbH9Cz0tuDiY8C3ctxq1tqvaCgkFb8cCA/edit#gid=346597447"",""มหาสารคาม!I546"")"),0)</f>
        <v>0</v>
      </c>
      <c r="J651" s="585">
        <f ca="1">J657+J660</f>
        <v>0</v>
      </c>
      <c r="K651" s="586">
        <f t="shared" ca="1" si="131"/>
        <v>0</v>
      </c>
      <c r="L651" s="571">
        <f ca="1">IFERROR(__xludf.DUMMYFUNCTION("IMPORTRANGE(""https://docs.google.com/spreadsheets/d/1XL5vhW3sbDhbH9Cz0tuDiY8C3ctxq1tqvaCgkFb8cCA/edit#gid=346597447"",""มหาสารคาม!L546"")"),0)</f>
        <v>0</v>
      </c>
      <c r="M651" s="570"/>
      <c r="N651" s="587">
        <f ca="1">IFERROR(__xludf.DUMMYFUNCTION("IMPORTRANGE(""https://docs.google.com/spreadsheets/d/1XL5vhW3sbDhbH9Cz0tuDiY8C3ctxq1tqvaCgkFb8cCA/edit#gid=346597447"",""มหาสารคาม!M546"")"),0)</f>
        <v>0</v>
      </c>
      <c r="O651" s="586">
        <f t="shared" ca="1" si="132"/>
        <v>0</v>
      </c>
      <c r="P651" s="586"/>
    </row>
    <row r="652" spans="1:16" ht="21.75" customHeight="1" x14ac:dyDescent="0.3">
      <c r="A652" s="561"/>
      <c r="B652" s="562"/>
      <c r="C652" s="562"/>
      <c r="D652" s="562"/>
      <c r="E652" s="562"/>
      <c r="F652" s="562"/>
      <c r="G652" s="564" t="s">
        <v>248</v>
      </c>
      <c r="H652" s="565" t="s">
        <v>36</v>
      </c>
      <c r="I652" s="589"/>
      <c r="J652" s="581">
        <f ca="1">IFERROR(__xludf.DUMMYFUNCTION("IMPORTRANGE(""https://docs.google.com/spreadsheets/d/1XL5vhW3sbDhbH9Cz0tuDiY8C3ctxq1tqvaCgkFb8cCA/edit#gid=346597447"",""มหาสารคาม!J547"")"),0)</f>
        <v>0</v>
      </c>
      <c r="K652" s="586"/>
      <c r="L652" s="570"/>
      <c r="M652" s="570"/>
      <c r="N652" s="570"/>
      <c r="O652" s="568"/>
      <c r="P652" s="568"/>
    </row>
    <row r="653" spans="1:16" ht="21.75" customHeight="1" x14ac:dyDescent="0.3">
      <c r="A653" s="561"/>
      <c r="B653" s="562"/>
      <c r="C653" s="562"/>
      <c r="D653" s="562"/>
      <c r="E653" s="562"/>
      <c r="F653" s="562"/>
      <c r="G653" s="579"/>
      <c r="H653" s="565" t="s">
        <v>122</v>
      </c>
      <c r="I653" s="589"/>
      <c r="J653" s="581">
        <f ca="1">IFERROR(__xludf.DUMMYFUNCTION("IMPORTRANGE(""https://docs.google.com/spreadsheets/d/1XL5vhW3sbDhbH9Cz0tuDiY8C3ctxq1tqvaCgkFb8cCA/edit#gid=346597447"",""มหาสารคาม!J548"")"),0)</f>
        <v>0</v>
      </c>
      <c r="K653" s="586"/>
      <c r="L653" s="570"/>
      <c r="M653" s="570"/>
      <c r="N653" s="570"/>
      <c r="O653" s="568"/>
      <c r="P653" s="568"/>
    </row>
    <row r="654" spans="1:16" ht="21.75" customHeight="1" x14ac:dyDescent="0.3">
      <c r="A654" s="561"/>
      <c r="B654" s="562"/>
      <c r="C654" s="562"/>
      <c r="D654" s="562"/>
      <c r="E654" s="562"/>
      <c r="F654" s="562"/>
      <c r="G654" s="564" t="s">
        <v>249</v>
      </c>
      <c r="H654" s="577"/>
      <c r="I654" s="589"/>
      <c r="J654" s="590"/>
      <c r="K654" s="586"/>
      <c r="L654" s="570"/>
      <c r="M654" s="570"/>
      <c r="N654" s="570"/>
      <c r="O654" s="568"/>
      <c r="P654" s="568"/>
    </row>
    <row r="655" spans="1:16" ht="21.75" customHeight="1" x14ac:dyDescent="0.3">
      <c r="A655" s="561"/>
      <c r="B655" s="562"/>
      <c r="C655" s="562"/>
      <c r="D655" s="562"/>
      <c r="E655" s="562"/>
      <c r="F655" s="562"/>
      <c r="G655" s="564" t="s">
        <v>250</v>
      </c>
      <c r="H655" s="565" t="s">
        <v>37</v>
      </c>
      <c r="I655" s="589"/>
      <c r="J655" s="581">
        <f ca="1">IFERROR(__xludf.DUMMYFUNCTION("IMPORTRANGE(""https://docs.google.com/spreadsheets/d/1XL5vhW3sbDhbH9Cz0tuDiY8C3ctxq1tqvaCgkFb8cCA/edit#gid=346597447"",""มหาสารคาม!J550"")"),0)</f>
        <v>0</v>
      </c>
      <c r="K655" s="586"/>
      <c r="L655" s="570"/>
      <c r="M655" s="570"/>
      <c r="N655" s="570"/>
      <c r="O655" s="568"/>
      <c r="P655" s="568"/>
    </row>
    <row r="656" spans="1:16" ht="21.75" customHeight="1" x14ac:dyDescent="0.3">
      <c r="A656" s="561"/>
      <c r="B656" s="562"/>
      <c r="C656" s="562"/>
      <c r="D656" s="562"/>
      <c r="E656" s="562"/>
      <c r="F656" s="562"/>
      <c r="G656" s="579"/>
      <c r="H656" s="565" t="s">
        <v>36</v>
      </c>
      <c r="I656" s="589"/>
      <c r="J656" s="581">
        <f ca="1">IFERROR(__xludf.DUMMYFUNCTION("IMPORTRANGE(""https://docs.google.com/spreadsheets/d/1XL5vhW3sbDhbH9Cz0tuDiY8C3ctxq1tqvaCgkFb8cCA/edit#gid=346597447"",""มหาสารคาม!J551"")"),0)</f>
        <v>0</v>
      </c>
      <c r="K656" s="586"/>
      <c r="L656" s="570"/>
      <c r="M656" s="570"/>
      <c r="N656" s="570"/>
      <c r="O656" s="568"/>
      <c r="P656" s="568"/>
    </row>
    <row r="657" spans="1:16" ht="21.75" customHeight="1" x14ac:dyDescent="0.3">
      <c r="A657" s="561"/>
      <c r="B657" s="562"/>
      <c r="C657" s="562"/>
      <c r="D657" s="562"/>
      <c r="E657" s="562"/>
      <c r="F657" s="562"/>
      <c r="G657" s="579"/>
      <c r="H657" s="565" t="s">
        <v>122</v>
      </c>
      <c r="I657" s="589"/>
      <c r="J657" s="581">
        <f ca="1">IFERROR(__xludf.DUMMYFUNCTION("IMPORTRANGE(""https://docs.google.com/spreadsheets/d/1XL5vhW3sbDhbH9Cz0tuDiY8C3ctxq1tqvaCgkFb8cCA/edit#gid=346597447"",""มหาสารคาม!J552"")"),0)</f>
        <v>0</v>
      </c>
      <c r="K657" s="586"/>
      <c r="L657" s="570"/>
      <c r="M657" s="570"/>
      <c r="N657" s="570"/>
      <c r="O657" s="568"/>
      <c r="P657" s="568"/>
    </row>
    <row r="658" spans="1:16" ht="21.75" customHeight="1" x14ac:dyDescent="0.3">
      <c r="A658" s="561"/>
      <c r="B658" s="562"/>
      <c r="C658" s="562"/>
      <c r="D658" s="562"/>
      <c r="E658" s="562"/>
      <c r="F658" s="562"/>
      <c r="G658" s="564" t="s">
        <v>251</v>
      </c>
      <c r="H658" s="565" t="s">
        <v>37</v>
      </c>
      <c r="I658" s="589"/>
      <c r="J658" s="581">
        <f ca="1">IFERROR(__xludf.DUMMYFUNCTION("IMPORTRANGE(""https://docs.google.com/spreadsheets/d/1XL5vhW3sbDhbH9Cz0tuDiY8C3ctxq1tqvaCgkFb8cCA/edit#gid=346597447"",""มหาสารคาม!J553"")"),0)</f>
        <v>0</v>
      </c>
      <c r="K658" s="586"/>
      <c r="L658" s="570"/>
      <c r="M658" s="570"/>
      <c r="N658" s="570"/>
      <c r="O658" s="568"/>
      <c r="P658" s="568"/>
    </row>
    <row r="659" spans="1:16" ht="21.75" customHeight="1" x14ac:dyDescent="0.3">
      <c r="A659" s="561"/>
      <c r="B659" s="562"/>
      <c r="C659" s="562"/>
      <c r="D659" s="562"/>
      <c r="E659" s="562"/>
      <c r="F659" s="562"/>
      <c r="G659" s="579"/>
      <c r="H659" s="565" t="s">
        <v>36</v>
      </c>
      <c r="I659" s="589"/>
      <c r="J659" s="581">
        <f ca="1">IFERROR(__xludf.DUMMYFUNCTION("IMPORTRANGE(""https://docs.google.com/spreadsheets/d/1XL5vhW3sbDhbH9Cz0tuDiY8C3ctxq1tqvaCgkFb8cCA/edit#gid=346597447"",""มหาสารคาม!J554"")"),0)</f>
        <v>0</v>
      </c>
      <c r="K659" s="586"/>
      <c r="L659" s="570"/>
      <c r="M659" s="570"/>
      <c r="N659" s="570"/>
      <c r="O659" s="568"/>
      <c r="P659" s="568"/>
    </row>
    <row r="660" spans="1:16" ht="21.75" customHeight="1" x14ac:dyDescent="0.3">
      <c r="A660" s="561"/>
      <c r="B660" s="562"/>
      <c r="C660" s="562"/>
      <c r="D660" s="562"/>
      <c r="E660" s="562"/>
      <c r="F660" s="562"/>
      <c r="G660" s="579"/>
      <c r="H660" s="565" t="s">
        <v>122</v>
      </c>
      <c r="I660" s="589"/>
      <c r="J660" s="581">
        <f ca="1">IFERROR(__xludf.DUMMYFUNCTION("IMPORTRANGE(""https://docs.google.com/spreadsheets/d/1XL5vhW3sbDhbH9Cz0tuDiY8C3ctxq1tqvaCgkFb8cCA/edit#gid=346597447"",""มหาสารคาม!J555"")"),0)</f>
        <v>0</v>
      </c>
      <c r="K660" s="586"/>
      <c r="L660" s="570"/>
      <c r="M660" s="570"/>
      <c r="N660" s="570"/>
      <c r="O660" s="568"/>
      <c r="P660" s="568"/>
    </row>
    <row r="661" spans="1:16" ht="21.75" customHeight="1" x14ac:dyDescent="0.3">
      <c r="A661" s="561"/>
      <c r="B661" s="562"/>
      <c r="C661" s="562"/>
      <c r="D661" s="562"/>
      <c r="E661" s="562"/>
      <c r="F661" s="675" t="s">
        <v>252</v>
      </c>
      <c r="G661" s="676"/>
      <c r="H661" s="565" t="s">
        <v>37</v>
      </c>
      <c r="I661" s="589"/>
      <c r="J661" s="585">
        <f ca="1">IFERROR(__xludf.DUMMYFUNCTION("IMPORTRANGE(""https://docs.google.com/spreadsheets/d/1XL5vhW3sbDhbH9Cz0tuDiY8C3ctxq1tqvaCgkFb8cCA/edit#gid=346597447"",""มหาสารคาม!J556"")"),0)</f>
        <v>0</v>
      </c>
      <c r="K661" s="586"/>
      <c r="L661" s="571">
        <f ca="1">IFERROR(__xludf.DUMMYFUNCTION("IMPORTRANGE(""https://docs.google.com/spreadsheets/d/1XL5vhW3sbDhbH9Cz0tuDiY8C3ctxq1tqvaCgkFb8cCA/edit#gid=346597447"",""มหาสารคาม!L556"")"),0)</f>
        <v>0</v>
      </c>
      <c r="M661" s="570"/>
      <c r="N661" s="587">
        <f ca="1">IFERROR(__xludf.DUMMYFUNCTION("IMPORTRANGE(""https://docs.google.com/spreadsheets/d/1XL5vhW3sbDhbH9Cz0tuDiY8C3ctxq1tqvaCgkFb8cCA/edit#gid=346597447"",""มหาสารคาม!M556"")"),0)</f>
        <v>0</v>
      </c>
      <c r="O661" s="586">
        <f ca="1">IF(L661&gt;0,N661*100/L661,0)</f>
        <v>0</v>
      </c>
      <c r="P661" s="586"/>
    </row>
    <row r="662" spans="1:16" ht="21.75" customHeight="1" x14ac:dyDescent="0.3">
      <c r="A662" s="561"/>
      <c r="B662" s="562"/>
      <c r="C662" s="562"/>
      <c r="D662" s="562"/>
      <c r="E662" s="562"/>
      <c r="F662" s="562"/>
      <c r="G662" s="579"/>
      <c r="H662" s="565" t="s">
        <v>36</v>
      </c>
      <c r="I662" s="589"/>
      <c r="J662" s="585">
        <f ca="1">IFERROR(__xludf.DUMMYFUNCTION("IMPORTRANGE(""https://docs.google.com/spreadsheets/d/1XL5vhW3sbDhbH9Cz0tuDiY8C3ctxq1tqvaCgkFb8cCA/edit#gid=346597447"",""มหาสารคาม!J557"")"),0)</f>
        <v>0</v>
      </c>
      <c r="K662" s="586"/>
      <c r="L662" s="570"/>
      <c r="M662" s="570"/>
      <c r="N662" s="570"/>
      <c r="O662" s="568"/>
      <c r="P662" s="568"/>
    </row>
    <row r="663" spans="1:16" ht="21.75" customHeight="1" x14ac:dyDescent="0.3">
      <c r="A663" s="561"/>
      <c r="B663" s="562"/>
      <c r="C663" s="562"/>
      <c r="D663" s="562"/>
      <c r="E663" s="562"/>
      <c r="F663" s="562"/>
      <c r="G663" s="579"/>
      <c r="H663" s="565" t="s">
        <v>122</v>
      </c>
      <c r="I663" s="584">
        <f ca="1">IFERROR(__xludf.DUMMYFUNCTION("IMPORTRANGE(""https://docs.google.com/spreadsheets/d/1XL5vhW3sbDhbH9Cz0tuDiY8C3ctxq1tqvaCgkFb8cCA/edit#gid=346597447"",""มหาสารคาม!I558"")"),0)</f>
        <v>0</v>
      </c>
      <c r="J663" s="585">
        <f ca="1">IFERROR(__xludf.DUMMYFUNCTION("IMPORTRANGE(""https://docs.google.com/spreadsheets/d/1XL5vhW3sbDhbH9Cz0tuDiY8C3ctxq1tqvaCgkFb8cCA/edit#gid=346597447"",""มหาสารคาม!J558"")"),0)</f>
        <v>0</v>
      </c>
      <c r="K663" s="586">
        <f ca="1">IF(I663&gt;0,J663*100/I663,0)</f>
        <v>0</v>
      </c>
      <c r="L663" s="570"/>
      <c r="M663" s="570"/>
      <c r="N663" s="570"/>
      <c r="O663" s="568"/>
      <c r="P663" s="568"/>
    </row>
    <row r="664" spans="1:16" ht="21.75" customHeight="1" x14ac:dyDescent="0.3">
      <c r="A664" s="561"/>
      <c r="B664" s="562"/>
      <c r="C664" s="562"/>
      <c r="D664" s="562"/>
      <c r="E664" s="562"/>
      <c r="F664" s="675" t="s">
        <v>253</v>
      </c>
      <c r="G664" s="676"/>
      <c r="H664" s="577"/>
      <c r="I664" s="589"/>
      <c r="J664" s="590"/>
      <c r="K664" s="586"/>
      <c r="L664" s="570"/>
      <c r="M664" s="570"/>
      <c r="N664" s="582"/>
      <c r="O664" s="568"/>
      <c r="P664" s="568"/>
    </row>
    <row r="665" spans="1:16" ht="21.75" customHeight="1" x14ac:dyDescent="0.3">
      <c r="A665" s="561"/>
      <c r="B665" s="562"/>
      <c r="C665" s="562"/>
      <c r="D665" s="562"/>
      <c r="E665" s="562"/>
      <c r="F665" s="562"/>
      <c r="G665" s="564" t="s">
        <v>254</v>
      </c>
      <c r="H665" s="565" t="s">
        <v>37</v>
      </c>
      <c r="I665" s="584">
        <f ca="1">IFERROR(__xludf.DUMMYFUNCTION("IMPORTRANGE(""https://docs.google.com/spreadsheets/d/1XL5vhW3sbDhbH9Cz0tuDiY8C3ctxq1tqvaCgkFb8cCA/edit#gid=346597447"",""มหาสารคาม!I560"")"),0)</f>
        <v>0</v>
      </c>
      <c r="J665" s="585">
        <f ca="1">IFERROR(__xludf.DUMMYFUNCTION("IMPORTRANGE(""https://docs.google.com/spreadsheets/d/1XL5vhW3sbDhbH9Cz0tuDiY8C3ctxq1tqvaCgkFb8cCA/edit#gid=346597447"",""มหาสารคาม!J560"")"),0)</f>
        <v>0</v>
      </c>
      <c r="K665" s="586">
        <f ca="1">IF(I665&gt;0,J665*100/I665,0)</f>
        <v>0</v>
      </c>
      <c r="L665" s="571">
        <f ca="1">IFERROR(__xludf.DUMMYFUNCTION("IMPORTRANGE(""https://docs.google.com/spreadsheets/d/1XL5vhW3sbDhbH9Cz0tuDiY8C3ctxq1tqvaCgkFb8cCA/edit#gid=346597447"",""มหาสารคาม!L560"")"),0)</f>
        <v>0</v>
      </c>
      <c r="M665" s="570"/>
      <c r="N665" s="587">
        <f ca="1">IFERROR(__xludf.DUMMYFUNCTION("IMPORTRANGE(""https://docs.google.com/spreadsheets/d/1XL5vhW3sbDhbH9Cz0tuDiY8C3ctxq1tqvaCgkFb8cCA/edit#gid=346597447"",""มหาสารคาม!M560"")"),0)</f>
        <v>0</v>
      </c>
      <c r="O665" s="586">
        <f ca="1">IF(L665&gt;0,N665*100/L665,0)</f>
        <v>0</v>
      </c>
      <c r="P665" s="586"/>
    </row>
    <row r="666" spans="1:16" ht="21.75" customHeight="1" x14ac:dyDescent="0.3">
      <c r="A666" s="561"/>
      <c r="B666" s="562"/>
      <c r="C666" s="562"/>
      <c r="D666" s="562"/>
      <c r="E666" s="562"/>
      <c r="F666" s="562"/>
      <c r="G666" s="579"/>
      <c r="H666" s="565" t="s">
        <v>36</v>
      </c>
      <c r="I666" s="589"/>
      <c r="J666" s="585">
        <f ca="1">IFERROR(__xludf.DUMMYFUNCTION("IMPORTRANGE(""https://docs.google.com/spreadsheets/d/1XL5vhW3sbDhbH9Cz0tuDiY8C3ctxq1tqvaCgkFb8cCA/edit#gid=346597447"",""มหาสารคาม!J561"")"),0)</f>
        <v>0</v>
      </c>
      <c r="K666" s="586"/>
      <c r="L666" s="570"/>
      <c r="M666" s="570"/>
      <c r="N666" s="570"/>
      <c r="O666" s="568"/>
      <c r="P666" s="568"/>
    </row>
    <row r="667" spans="1:16" ht="21.75" customHeight="1" x14ac:dyDescent="0.3">
      <c r="A667" s="561"/>
      <c r="B667" s="562"/>
      <c r="C667" s="562"/>
      <c r="D667" s="562"/>
      <c r="E667" s="562"/>
      <c r="F667" s="562"/>
      <c r="G667" s="579"/>
      <c r="H667" s="565" t="s">
        <v>122</v>
      </c>
      <c r="I667" s="589"/>
      <c r="J667" s="585">
        <f ca="1">IFERROR(__xludf.DUMMYFUNCTION("IMPORTRANGE(""https://docs.google.com/spreadsheets/d/1XL5vhW3sbDhbH9Cz0tuDiY8C3ctxq1tqvaCgkFb8cCA/edit#gid=346597447"",""มหาสารคาม!J562"")"),0)</f>
        <v>0</v>
      </c>
      <c r="K667" s="586"/>
      <c r="L667" s="570"/>
      <c r="M667" s="570"/>
      <c r="N667" s="570"/>
      <c r="O667" s="568"/>
      <c r="P667" s="568"/>
    </row>
    <row r="668" spans="1:16" ht="21.75" customHeight="1" x14ac:dyDescent="0.3">
      <c r="A668" s="561"/>
      <c r="B668" s="562"/>
      <c r="C668" s="562"/>
      <c r="D668" s="562"/>
      <c r="E668" s="562"/>
      <c r="F668" s="562"/>
      <c r="G668" s="564" t="s">
        <v>255</v>
      </c>
      <c r="H668" s="565" t="s">
        <v>37</v>
      </c>
      <c r="I668" s="584">
        <f ca="1">IFERROR(__xludf.DUMMYFUNCTION("IMPORTRANGE(""https://docs.google.com/spreadsheets/d/1XL5vhW3sbDhbH9Cz0tuDiY8C3ctxq1tqvaCgkFb8cCA/edit#gid=346597447"",""มหาสารคาม!I563"")"),0)</f>
        <v>0</v>
      </c>
      <c r="J668" s="585">
        <f ca="1">IFERROR(__xludf.DUMMYFUNCTION("IMPORTRANGE(""https://docs.google.com/spreadsheets/d/1XL5vhW3sbDhbH9Cz0tuDiY8C3ctxq1tqvaCgkFb8cCA/edit#gid=346597447"",""มหาสารคาม!J563"")"),0)</f>
        <v>0</v>
      </c>
      <c r="K668" s="586">
        <f ca="1">IF(I668&gt;0,J668*100/I668,0)</f>
        <v>0</v>
      </c>
      <c r="L668" s="571">
        <f ca="1">IFERROR(__xludf.DUMMYFUNCTION("IMPORTRANGE(""https://docs.google.com/spreadsheets/d/1XL5vhW3sbDhbH9Cz0tuDiY8C3ctxq1tqvaCgkFb8cCA/edit#gid=346597447"",""มหาสารคาม!L563"")"),0)</f>
        <v>0</v>
      </c>
      <c r="M668" s="570"/>
      <c r="N668" s="587">
        <f ca="1">IFERROR(__xludf.DUMMYFUNCTION("IMPORTRANGE(""https://docs.google.com/spreadsheets/d/1XL5vhW3sbDhbH9Cz0tuDiY8C3ctxq1tqvaCgkFb8cCA/edit#gid=346597447"",""มหาสารคาม!M563"")"),0)</f>
        <v>0</v>
      </c>
      <c r="O668" s="586">
        <f ca="1">IF(L668&gt;0,N668*100/L668,0)</f>
        <v>0</v>
      </c>
      <c r="P668" s="586"/>
    </row>
    <row r="669" spans="1:16" ht="21.75" customHeight="1" x14ac:dyDescent="0.3">
      <c r="A669" s="561"/>
      <c r="B669" s="562"/>
      <c r="C669" s="562"/>
      <c r="D669" s="562"/>
      <c r="E669" s="562"/>
      <c r="F669" s="562"/>
      <c r="G669" s="579"/>
      <c r="H669" s="565" t="s">
        <v>36</v>
      </c>
      <c r="I669" s="589"/>
      <c r="J669" s="585">
        <f ca="1">IFERROR(__xludf.DUMMYFUNCTION("IMPORTRANGE(""https://docs.google.com/spreadsheets/d/1XL5vhW3sbDhbH9Cz0tuDiY8C3ctxq1tqvaCgkFb8cCA/edit#gid=346597447"",""มหาสารคาม!J564"")"),0)</f>
        <v>0</v>
      </c>
      <c r="K669" s="586"/>
      <c r="L669" s="570"/>
      <c r="M669" s="570"/>
      <c r="N669" s="570"/>
      <c r="O669" s="568"/>
      <c r="P669" s="568"/>
    </row>
    <row r="670" spans="1:16" ht="21.75" customHeight="1" x14ac:dyDescent="0.3">
      <c r="A670" s="561"/>
      <c r="B670" s="562"/>
      <c r="C670" s="562"/>
      <c r="D670" s="562"/>
      <c r="E670" s="562"/>
      <c r="F670" s="562"/>
      <c r="G670" s="579"/>
      <c r="H670" s="565" t="s">
        <v>122</v>
      </c>
      <c r="I670" s="589"/>
      <c r="J670" s="585">
        <f ca="1">IFERROR(__xludf.DUMMYFUNCTION("IMPORTRANGE(""https://docs.google.com/spreadsheets/d/1XL5vhW3sbDhbH9Cz0tuDiY8C3ctxq1tqvaCgkFb8cCA/edit#gid=346597447"",""มหาสารคาม!J565"")"),0)</f>
        <v>0</v>
      </c>
      <c r="K670" s="586"/>
      <c r="L670" s="570"/>
      <c r="M670" s="570"/>
      <c r="N670" s="570"/>
      <c r="O670" s="568"/>
      <c r="P670" s="568"/>
    </row>
    <row r="671" spans="1:16" ht="21.75" customHeight="1" x14ac:dyDescent="0.3">
      <c r="A671" s="561"/>
      <c r="B671" s="562"/>
      <c r="C671" s="562"/>
      <c r="D671" s="562"/>
      <c r="E671" s="562"/>
      <c r="F671" s="675" t="s">
        <v>256</v>
      </c>
      <c r="G671" s="676"/>
      <c r="H671" s="565" t="s">
        <v>122</v>
      </c>
      <c r="I671" s="584">
        <f ca="1">IFERROR(__xludf.DUMMYFUNCTION("IMPORTRANGE(""https://docs.google.com/spreadsheets/d/1XL5vhW3sbDhbH9Cz0tuDiY8C3ctxq1tqvaCgkFb8cCA/edit#gid=346597447"",""มหาสารคาม!I566"")"),0)</f>
        <v>0</v>
      </c>
      <c r="J671" s="585">
        <f ca="1">J674+J677</f>
        <v>0</v>
      </c>
      <c r="K671" s="586">
        <f ca="1">IF(I671&gt;0,J671*100/I671,0)</f>
        <v>0</v>
      </c>
      <c r="L671" s="571">
        <f ca="1">IFERROR(__xludf.DUMMYFUNCTION("IMPORTRANGE(""https://docs.google.com/spreadsheets/d/1XL5vhW3sbDhbH9Cz0tuDiY8C3ctxq1tqvaCgkFb8cCA/edit#gid=346597447"",""มหาสารคาม!L566"")"),0)</f>
        <v>0</v>
      </c>
      <c r="M671" s="570"/>
      <c r="N671" s="587">
        <f ca="1">IFERROR(__xludf.DUMMYFUNCTION("IMPORTRANGE(""https://docs.google.com/spreadsheets/d/1XL5vhW3sbDhbH9Cz0tuDiY8C3ctxq1tqvaCgkFb8cCA/edit#gid=346597447"",""มหาสารคาม!M566"")"),0)</f>
        <v>0</v>
      </c>
      <c r="O671" s="586">
        <f ca="1">IF(L671&gt;0,N671*100/L671,0)</f>
        <v>0</v>
      </c>
      <c r="P671" s="586"/>
    </row>
    <row r="672" spans="1:16" ht="21.75" customHeight="1" x14ac:dyDescent="0.3">
      <c r="A672" s="561"/>
      <c r="B672" s="562"/>
      <c r="C672" s="562"/>
      <c r="D672" s="562"/>
      <c r="E672" s="562"/>
      <c r="F672" s="562"/>
      <c r="G672" s="564" t="s">
        <v>257</v>
      </c>
      <c r="H672" s="565" t="s">
        <v>37</v>
      </c>
      <c r="I672" s="589"/>
      <c r="J672" s="581">
        <f ca="1">IFERROR(__xludf.DUMMYFUNCTION("IMPORTRANGE(""https://docs.google.com/spreadsheets/d/1XL5vhW3sbDhbH9Cz0tuDiY8C3ctxq1tqvaCgkFb8cCA/edit#gid=346597447"",""มหาสารคาม!J567"")"),0)</f>
        <v>0</v>
      </c>
      <c r="K672" s="586"/>
      <c r="L672" s="570"/>
      <c r="M672" s="570"/>
      <c r="N672" s="570"/>
      <c r="O672" s="568"/>
      <c r="P672" s="568"/>
    </row>
    <row r="673" spans="1:16" ht="21.75" customHeight="1" x14ac:dyDescent="0.3">
      <c r="A673" s="561"/>
      <c r="B673" s="562"/>
      <c r="C673" s="562"/>
      <c r="D673" s="562"/>
      <c r="E673" s="562"/>
      <c r="F673" s="562"/>
      <c r="G673" s="579"/>
      <c r="H673" s="565" t="s">
        <v>36</v>
      </c>
      <c r="I673" s="589"/>
      <c r="J673" s="581">
        <f ca="1">IFERROR(__xludf.DUMMYFUNCTION("IMPORTRANGE(""https://docs.google.com/spreadsheets/d/1XL5vhW3sbDhbH9Cz0tuDiY8C3ctxq1tqvaCgkFb8cCA/edit#gid=346597447"",""มหาสารคาม!J568"")"),0)</f>
        <v>0</v>
      </c>
      <c r="K673" s="586"/>
      <c r="L673" s="570"/>
      <c r="M673" s="570"/>
      <c r="N673" s="570"/>
      <c r="O673" s="568"/>
      <c r="P673" s="568"/>
    </row>
    <row r="674" spans="1:16" ht="21.75" customHeight="1" x14ac:dyDescent="0.3">
      <c r="A674" s="561"/>
      <c r="B674" s="562"/>
      <c r="C674" s="562"/>
      <c r="D674" s="562"/>
      <c r="E674" s="562"/>
      <c r="F674" s="562"/>
      <c r="G674" s="579"/>
      <c r="H674" s="565" t="s">
        <v>122</v>
      </c>
      <c r="I674" s="589"/>
      <c r="J674" s="581">
        <f ca="1">IFERROR(__xludf.DUMMYFUNCTION("IMPORTRANGE(""https://docs.google.com/spreadsheets/d/1XL5vhW3sbDhbH9Cz0tuDiY8C3ctxq1tqvaCgkFb8cCA/edit#gid=346597447"",""มหาสารคาม!J569"")"),0)</f>
        <v>0</v>
      </c>
      <c r="K674" s="586"/>
      <c r="L674" s="570"/>
      <c r="M674" s="570"/>
      <c r="N674" s="570"/>
      <c r="O674" s="568"/>
      <c r="P674" s="568"/>
    </row>
    <row r="675" spans="1:16" ht="21.75" customHeight="1" x14ac:dyDescent="0.3">
      <c r="A675" s="561"/>
      <c r="B675" s="562"/>
      <c r="C675" s="562"/>
      <c r="D675" s="562"/>
      <c r="E675" s="562"/>
      <c r="F675" s="562"/>
      <c r="G675" s="564" t="s">
        <v>258</v>
      </c>
      <c r="H675" s="565" t="s">
        <v>37</v>
      </c>
      <c r="I675" s="589"/>
      <c r="J675" s="581">
        <f ca="1">IFERROR(__xludf.DUMMYFUNCTION("IMPORTRANGE(""https://docs.google.com/spreadsheets/d/1XL5vhW3sbDhbH9Cz0tuDiY8C3ctxq1tqvaCgkFb8cCA/edit#gid=346597447"",""มหาสารคาม!J570"")"),0)</f>
        <v>0</v>
      </c>
      <c r="K675" s="586"/>
      <c r="L675" s="570"/>
      <c r="M675" s="570"/>
      <c r="N675" s="570"/>
      <c r="O675" s="568"/>
      <c r="P675" s="568"/>
    </row>
    <row r="676" spans="1:16" ht="21.75" customHeight="1" x14ac:dyDescent="0.3">
      <c r="A676" s="561"/>
      <c r="B676" s="562"/>
      <c r="C676" s="562"/>
      <c r="D676" s="562"/>
      <c r="E676" s="562"/>
      <c r="F676" s="562"/>
      <c r="G676" s="579"/>
      <c r="H676" s="565" t="s">
        <v>36</v>
      </c>
      <c r="I676" s="589"/>
      <c r="J676" s="581">
        <f ca="1">IFERROR(__xludf.DUMMYFUNCTION("IMPORTRANGE(""https://docs.google.com/spreadsheets/d/1XL5vhW3sbDhbH9Cz0tuDiY8C3ctxq1tqvaCgkFb8cCA/edit#gid=346597447"",""มหาสารคาม!J571"")"),0)</f>
        <v>0</v>
      </c>
      <c r="K676" s="586"/>
      <c r="L676" s="570"/>
      <c r="M676" s="570"/>
      <c r="N676" s="570"/>
      <c r="O676" s="568"/>
      <c r="P676" s="568"/>
    </row>
    <row r="677" spans="1:16" ht="21.75" customHeight="1" x14ac:dyDescent="0.3">
      <c r="A677" s="591"/>
      <c r="B677" s="592" t="s">
        <v>259</v>
      </c>
      <c r="C677" s="593"/>
      <c r="D677" s="593"/>
      <c r="E677" s="593"/>
      <c r="F677" s="593"/>
      <c r="G677" s="594"/>
      <c r="H677" s="595" t="s">
        <v>122</v>
      </c>
      <c r="I677" s="596"/>
      <c r="J677" s="597">
        <f ca="1">IFERROR(__xludf.DUMMYFUNCTION("IMPORTRANGE(""https://docs.google.com/spreadsheets/d/1XL5vhW3sbDhbH9Cz0tuDiY8C3ctxq1tqvaCgkFb8cCA/edit#gid=346597447"",""มหาสารคาม!J572"")"),0)</f>
        <v>0</v>
      </c>
      <c r="K677" s="598"/>
      <c r="L677" s="599"/>
      <c r="M677" s="599"/>
      <c r="N677" s="599"/>
      <c r="O677" s="598"/>
      <c r="P677" s="598"/>
    </row>
    <row r="678" spans="1:16" ht="21.75" customHeight="1" x14ac:dyDescent="0.25">
      <c r="A678" s="547"/>
      <c r="B678" s="547"/>
      <c r="C678" s="547"/>
      <c r="D678" s="547"/>
      <c r="E678" s="548"/>
      <c r="F678" s="548"/>
      <c r="G678" s="548"/>
      <c r="H678" s="548"/>
      <c r="I678" s="548"/>
      <c r="J678" s="548"/>
      <c r="K678" s="549"/>
      <c r="L678" s="550"/>
      <c r="M678" s="550"/>
      <c r="N678" s="550"/>
      <c r="O678" s="551"/>
      <c r="P678" s="551"/>
    </row>
    <row r="679" spans="1:16" ht="21.75" customHeight="1" x14ac:dyDescent="0.25">
      <c r="A679" s="547"/>
      <c r="B679" s="547"/>
      <c r="C679" s="547"/>
      <c r="D679" s="547"/>
      <c r="E679" s="548"/>
      <c r="F679" s="548"/>
      <c r="G679" s="548"/>
      <c r="H679" s="548"/>
      <c r="I679" s="548"/>
      <c r="J679" s="548"/>
      <c r="K679" s="549"/>
      <c r="L679" s="550"/>
      <c r="M679" s="550"/>
      <c r="N679" s="550"/>
      <c r="O679" s="551"/>
      <c r="P679" s="551"/>
    </row>
    <row r="680" spans="1:16" ht="21.75" customHeight="1" x14ac:dyDescent="0.25">
      <c r="A680" s="547"/>
      <c r="B680" s="547"/>
      <c r="C680" s="547"/>
      <c r="D680" s="547"/>
      <c r="E680" s="548"/>
      <c r="F680" s="548"/>
      <c r="G680" s="548"/>
      <c r="H680" s="548"/>
      <c r="I680" s="548"/>
      <c r="J680" s="548"/>
      <c r="K680" s="549"/>
      <c r="L680" s="550"/>
      <c r="M680" s="550"/>
      <c r="N680" s="550"/>
      <c r="O680" s="551"/>
      <c r="P680" s="551"/>
    </row>
    <row r="681" spans="1:16" ht="21.75" customHeight="1" x14ac:dyDescent="0.25">
      <c r="A681" s="547"/>
      <c r="B681" s="547"/>
      <c r="C681" s="547"/>
      <c r="D681" s="547"/>
      <c r="E681" s="548"/>
      <c r="F681" s="548"/>
      <c r="G681" s="548"/>
      <c r="H681" s="548"/>
      <c r="I681" s="548"/>
      <c r="J681" s="548"/>
      <c r="K681" s="549"/>
      <c r="L681" s="550"/>
      <c r="M681" s="550"/>
      <c r="N681" s="550"/>
      <c r="O681" s="551"/>
      <c r="P681" s="551"/>
    </row>
    <row r="682" spans="1:16" ht="21.75" customHeight="1" x14ac:dyDescent="0.25">
      <c r="A682" s="547"/>
      <c r="B682" s="547"/>
      <c r="C682" s="547"/>
      <c r="D682" s="547"/>
      <c r="E682" s="548"/>
      <c r="F682" s="548"/>
      <c r="G682" s="548"/>
      <c r="H682" s="548"/>
      <c r="I682" s="548"/>
      <c r="J682" s="548"/>
      <c r="K682" s="549"/>
      <c r="L682" s="550"/>
      <c r="M682" s="550"/>
      <c r="N682" s="550"/>
      <c r="O682" s="551"/>
      <c r="P682" s="551"/>
    </row>
    <row r="683" spans="1:16" ht="21.75" customHeight="1" x14ac:dyDescent="0.25">
      <c r="A683" s="547"/>
      <c r="B683" s="547"/>
      <c r="C683" s="547"/>
      <c r="D683" s="547"/>
      <c r="E683" s="548"/>
      <c r="F683" s="548"/>
      <c r="G683" s="548"/>
      <c r="H683" s="548"/>
      <c r="I683" s="548"/>
      <c r="J683" s="548"/>
      <c r="K683" s="549"/>
      <c r="L683" s="550"/>
      <c r="M683" s="550"/>
      <c r="N683" s="550"/>
      <c r="O683" s="551"/>
      <c r="P683" s="551"/>
    </row>
    <row r="684" spans="1:16" ht="21.75" customHeight="1" x14ac:dyDescent="0.25">
      <c r="A684" s="547"/>
      <c r="B684" s="547"/>
      <c r="C684" s="547"/>
      <c r="D684" s="547"/>
      <c r="E684" s="548"/>
      <c r="F684" s="548"/>
      <c r="G684" s="548"/>
      <c r="H684" s="548"/>
      <c r="I684" s="548"/>
      <c r="J684" s="548"/>
      <c r="K684" s="549"/>
      <c r="L684" s="550"/>
      <c r="M684" s="550"/>
      <c r="N684" s="550"/>
      <c r="O684" s="551"/>
      <c r="P684" s="551"/>
    </row>
    <row r="685" spans="1:16" ht="21.75" customHeight="1" x14ac:dyDescent="0.25">
      <c r="A685" s="547"/>
      <c r="B685" s="547"/>
      <c r="C685" s="547"/>
      <c r="D685" s="547"/>
      <c r="E685" s="548"/>
      <c r="F685" s="548"/>
      <c r="G685" s="548"/>
      <c r="H685" s="548"/>
      <c r="I685" s="548"/>
      <c r="J685" s="548"/>
      <c r="K685" s="549"/>
      <c r="L685" s="550"/>
      <c r="M685" s="550"/>
      <c r="N685" s="550"/>
      <c r="O685" s="551"/>
      <c r="P685" s="551"/>
    </row>
    <row r="686" spans="1:16" ht="21.75" customHeight="1" x14ac:dyDescent="0.25">
      <c r="A686" s="547"/>
      <c r="B686" s="547"/>
      <c r="C686" s="547"/>
      <c r="D686" s="547"/>
      <c r="E686" s="548"/>
      <c r="F686" s="548"/>
      <c r="G686" s="548"/>
      <c r="H686" s="548"/>
      <c r="I686" s="548"/>
      <c r="J686" s="548"/>
      <c r="K686" s="549"/>
      <c r="L686" s="550"/>
      <c r="M686" s="550"/>
      <c r="N686" s="550"/>
      <c r="O686" s="551"/>
      <c r="P686" s="551"/>
    </row>
    <row r="687" spans="1:16" ht="21.75" customHeight="1" x14ac:dyDescent="0.25">
      <c r="A687" s="547"/>
      <c r="B687" s="547"/>
      <c r="C687" s="547"/>
      <c r="D687" s="547"/>
      <c r="E687" s="548"/>
      <c r="F687" s="548"/>
      <c r="G687" s="548"/>
      <c r="H687" s="548"/>
      <c r="I687" s="548"/>
      <c r="J687" s="548"/>
      <c r="K687" s="549"/>
      <c r="L687" s="550"/>
      <c r="M687" s="550"/>
      <c r="N687" s="550"/>
      <c r="O687" s="551"/>
      <c r="P687" s="551"/>
    </row>
    <row r="688" spans="1:16" ht="21.75" customHeight="1" x14ac:dyDescent="0.25">
      <c r="A688" s="547"/>
      <c r="B688" s="547"/>
      <c r="C688" s="547"/>
      <c r="D688" s="547"/>
      <c r="E688" s="548"/>
      <c r="F688" s="548"/>
      <c r="G688" s="548"/>
      <c r="H688" s="548"/>
      <c r="I688" s="548"/>
      <c r="J688" s="548"/>
      <c r="K688" s="549"/>
      <c r="L688" s="550"/>
      <c r="M688" s="550"/>
      <c r="N688" s="550"/>
      <c r="O688" s="551"/>
      <c r="P688" s="551"/>
    </row>
    <row r="689" spans="1:16" ht="21.75" customHeight="1" x14ac:dyDescent="0.25">
      <c r="A689" s="547"/>
      <c r="B689" s="547"/>
      <c r="C689" s="547"/>
      <c r="D689" s="547"/>
      <c r="E689" s="548"/>
      <c r="F689" s="548"/>
      <c r="G689" s="548"/>
      <c r="H689" s="548"/>
      <c r="I689" s="548"/>
      <c r="J689" s="548"/>
      <c r="K689" s="549"/>
      <c r="L689" s="550"/>
      <c r="M689" s="550"/>
      <c r="N689" s="550"/>
      <c r="O689" s="551"/>
      <c r="P689" s="551"/>
    </row>
    <row r="690" spans="1:16" ht="21.75" customHeight="1" x14ac:dyDescent="0.25">
      <c r="A690" s="547"/>
      <c r="B690" s="547"/>
      <c r="C690" s="547"/>
      <c r="D690" s="547"/>
      <c r="E690" s="548"/>
      <c r="F690" s="548"/>
      <c r="G690" s="548"/>
      <c r="H690" s="548"/>
      <c r="I690" s="548"/>
      <c r="J690" s="548"/>
      <c r="K690" s="549"/>
      <c r="L690" s="550"/>
      <c r="M690" s="550"/>
      <c r="N690" s="550"/>
      <c r="O690" s="551"/>
      <c r="P690" s="551"/>
    </row>
    <row r="691" spans="1:16" ht="21.75" customHeight="1" x14ac:dyDescent="0.25">
      <c r="A691" s="547"/>
      <c r="B691" s="547"/>
      <c r="C691" s="547"/>
      <c r="D691" s="547"/>
      <c r="E691" s="548"/>
      <c r="F691" s="548"/>
      <c r="G691" s="548"/>
      <c r="H691" s="548"/>
      <c r="I691" s="548"/>
      <c r="J691" s="548"/>
      <c r="K691" s="549"/>
      <c r="L691" s="550"/>
      <c r="M691" s="550"/>
      <c r="N691" s="550"/>
      <c r="O691" s="551"/>
      <c r="P691" s="551"/>
    </row>
    <row r="692" spans="1:16" ht="21.75" customHeight="1" x14ac:dyDescent="0.25">
      <c r="A692" s="547"/>
      <c r="B692" s="547"/>
      <c r="C692" s="547"/>
      <c r="D692" s="547"/>
      <c r="E692" s="548"/>
      <c r="F692" s="548"/>
      <c r="G692" s="548"/>
      <c r="H692" s="548"/>
      <c r="I692" s="548"/>
      <c r="J692" s="548"/>
      <c r="K692" s="549"/>
      <c r="L692" s="550"/>
      <c r="M692" s="550"/>
      <c r="N692" s="550"/>
      <c r="O692" s="551"/>
      <c r="P692" s="551"/>
    </row>
    <row r="693" spans="1:16" ht="21.75" customHeight="1" x14ac:dyDescent="0.25">
      <c r="A693" s="547"/>
      <c r="B693" s="547"/>
      <c r="C693" s="547"/>
      <c r="D693" s="547"/>
      <c r="E693" s="548"/>
      <c r="F693" s="548"/>
      <c r="G693" s="548"/>
      <c r="H693" s="548"/>
      <c r="I693" s="548"/>
      <c r="J693" s="548"/>
      <c r="K693" s="549"/>
      <c r="L693" s="550"/>
      <c r="M693" s="550"/>
      <c r="N693" s="550"/>
      <c r="O693" s="551"/>
      <c r="P693" s="551"/>
    </row>
    <row r="694" spans="1:16" ht="21.75" customHeight="1" x14ac:dyDescent="0.25">
      <c r="A694" s="547"/>
      <c r="B694" s="547"/>
      <c r="C694" s="547"/>
      <c r="D694" s="547"/>
      <c r="E694" s="548"/>
      <c r="F694" s="548"/>
      <c r="G694" s="548"/>
      <c r="H694" s="548"/>
      <c r="I694" s="548"/>
      <c r="J694" s="548"/>
      <c r="K694" s="549"/>
      <c r="L694" s="550"/>
      <c r="M694" s="550"/>
      <c r="N694" s="550"/>
      <c r="O694" s="551"/>
      <c r="P694" s="551"/>
    </row>
    <row r="695" spans="1:16" ht="21.75" customHeight="1" x14ac:dyDescent="0.25">
      <c r="A695" s="547"/>
      <c r="B695" s="547"/>
      <c r="C695" s="547"/>
      <c r="D695" s="547"/>
      <c r="E695" s="548"/>
      <c r="F695" s="548"/>
      <c r="G695" s="548"/>
      <c r="H695" s="548"/>
      <c r="I695" s="548"/>
      <c r="J695" s="548"/>
      <c r="K695" s="549"/>
      <c r="L695" s="550"/>
      <c r="M695" s="550"/>
      <c r="N695" s="550"/>
      <c r="O695" s="551"/>
      <c r="P695" s="551"/>
    </row>
    <row r="696" spans="1:16" ht="21.75" customHeight="1" x14ac:dyDescent="0.25">
      <c r="A696" s="547"/>
      <c r="B696" s="547"/>
      <c r="C696" s="547"/>
      <c r="D696" s="547"/>
      <c r="E696" s="548"/>
      <c r="F696" s="548"/>
      <c r="G696" s="548"/>
      <c r="H696" s="548"/>
      <c r="I696" s="548"/>
      <c r="J696" s="548"/>
      <c r="K696" s="549"/>
      <c r="L696" s="550"/>
      <c r="M696" s="550"/>
      <c r="N696" s="550"/>
      <c r="O696" s="551"/>
      <c r="P696" s="551"/>
    </row>
    <row r="697" spans="1:16" ht="21.75" customHeight="1" x14ac:dyDescent="0.25">
      <c r="A697" s="547"/>
      <c r="B697" s="547"/>
      <c r="C697" s="547"/>
      <c r="D697" s="547"/>
      <c r="E697" s="548"/>
      <c r="F697" s="548"/>
      <c r="G697" s="548"/>
      <c r="H697" s="548"/>
      <c r="I697" s="548"/>
      <c r="J697" s="548"/>
      <c r="K697" s="549"/>
      <c r="L697" s="550"/>
      <c r="M697" s="550"/>
      <c r="N697" s="550"/>
      <c r="O697" s="551"/>
      <c r="P697" s="551"/>
    </row>
    <row r="698" spans="1:16" ht="21.75" customHeight="1" x14ac:dyDescent="0.25">
      <c r="A698" s="547"/>
      <c r="B698" s="547"/>
      <c r="C698" s="547"/>
      <c r="D698" s="547"/>
      <c r="E698" s="548"/>
      <c r="F698" s="548"/>
      <c r="G698" s="548"/>
      <c r="H698" s="548"/>
      <c r="I698" s="548"/>
      <c r="J698" s="548"/>
      <c r="K698" s="549"/>
      <c r="L698" s="550"/>
      <c r="M698" s="550"/>
      <c r="N698" s="550"/>
      <c r="O698" s="551"/>
      <c r="P698" s="551"/>
    </row>
    <row r="699" spans="1:16" ht="21.75" customHeight="1" x14ac:dyDescent="0.25">
      <c r="A699" s="547"/>
      <c r="B699" s="547"/>
      <c r="C699" s="547"/>
      <c r="D699" s="547"/>
      <c r="E699" s="548"/>
      <c r="F699" s="548"/>
      <c r="G699" s="548"/>
      <c r="H699" s="548"/>
      <c r="I699" s="548"/>
      <c r="J699" s="548"/>
      <c r="K699" s="549"/>
      <c r="L699" s="550"/>
      <c r="M699" s="550"/>
      <c r="N699" s="550"/>
      <c r="O699" s="551"/>
      <c r="P699" s="551"/>
    </row>
    <row r="700" spans="1:16" ht="21.75" customHeight="1" x14ac:dyDescent="0.25">
      <c r="A700" s="547"/>
      <c r="B700" s="547"/>
      <c r="C700" s="547"/>
      <c r="D700" s="547"/>
      <c r="E700" s="548"/>
      <c r="F700" s="548"/>
      <c r="G700" s="548"/>
      <c r="H700" s="548"/>
      <c r="I700" s="548"/>
      <c r="J700" s="548"/>
      <c r="K700" s="549"/>
      <c r="L700" s="550"/>
      <c r="M700" s="550"/>
      <c r="N700" s="550"/>
      <c r="O700" s="551"/>
      <c r="P700" s="551"/>
    </row>
    <row r="701" spans="1:16" ht="21.75" customHeight="1" x14ac:dyDescent="0.25">
      <c r="A701" s="547"/>
      <c r="B701" s="547"/>
      <c r="C701" s="547"/>
      <c r="D701" s="547"/>
      <c r="E701" s="548"/>
      <c r="F701" s="548"/>
      <c r="G701" s="548"/>
      <c r="H701" s="548"/>
      <c r="I701" s="548"/>
      <c r="J701" s="548"/>
      <c r="K701" s="549"/>
      <c r="L701" s="550"/>
      <c r="M701" s="550"/>
      <c r="N701" s="550"/>
      <c r="O701" s="551"/>
      <c r="P701" s="551"/>
    </row>
    <row r="702" spans="1:16" ht="21.75" customHeight="1" x14ac:dyDescent="0.25">
      <c r="A702" s="547"/>
      <c r="B702" s="547"/>
      <c r="C702" s="547"/>
      <c r="D702" s="547"/>
      <c r="E702" s="548"/>
      <c r="F702" s="548"/>
      <c r="G702" s="548"/>
      <c r="H702" s="548"/>
      <c r="I702" s="548"/>
      <c r="J702" s="548"/>
      <c r="K702" s="549"/>
      <c r="L702" s="550"/>
      <c r="M702" s="550"/>
      <c r="N702" s="550"/>
      <c r="O702" s="551"/>
      <c r="P702" s="551"/>
    </row>
    <row r="703" spans="1:16" ht="21.75" customHeight="1" x14ac:dyDescent="0.25">
      <c r="A703" s="547"/>
      <c r="B703" s="547"/>
      <c r="C703" s="547"/>
      <c r="D703" s="547"/>
      <c r="E703" s="548"/>
      <c r="F703" s="548"/>
      <c r="G703" s="548"/>
      <c r="H703" s="548"/>
      <c r="I703" s="548"/>
      <c r="J703" s="548"/>
      <c r="K703" s="549"/>
      <c r="L703" s="550"/>
      <c r="M703" s="550"/>
      <c r="N703" s="550"/>
      <c r="O703" s="551"/>
      <c r="P703" s="551"/>
    </row>
    <row r="704" spans="1:16" ht="21.75" customHeight="1" x14ac:dyDescent="0.25">
      <c r="A704" s="547"/>
      <c r="B704" s="547"/>
      <c r="C704" s="547"/>
      <c r="D704" s="547"/>
      <c r="E704" s="548"/>
      <c r="F704" s="548"/>
      <c r="G704" s="548"/>
      <c r="H704" s="548"/>
      <c r="I704" s="548"/>
      <c r="J704" s="548"/>
      <c r="K704" s="549"/>
      <c r="L704" s="550"/>
      <c r="M704" s="550"/>
      <c r="N704" s="550"/>
      <c r="O704" s="551"/>
      <c r="P704" s="551"/>
    </row>
    <row r="705" spans="1:16" ht="21.75" customHeight="1" x14ac:dyDescent="0.25">
      <c r="A705" s="547"/>
      <c r="B705" s="547"/>
      <c r="C705" s="547"/>
      <c r="D705" s="547"/>
      <c r="E705" s="548"/>
      <c r="F705" s="548"/>
      <c r="G705" s="548"/>
      <c r="H705" s="548"/>
      <c r="I705" s="548"/>
      <c r="J705" s="548"/>
      <c r="K705" s="549"/>
      <c r="L705" s="550"/>
      <c r="M705" s="550"/>
      <c r="N705" s="550"/>
      <c r="O705" s="551"/>
      <c r="P705" s="551"/>
    </row>
    <row r="706" spans="1:16" ht="21.75" customHeight="1" x14ac:dyDescent="0.25">
      <c r="A706" s="547"/>
      <c r="B706" s="547"/>
      <c r="C706" s="547"/>
      <c r="D706" s="547"/>
      <c r="E706" s="548"/>
      <c r="F706" s="548"/>
      <c r="G706" s="548"/>
      <c r="H706" s="548"/>
      <c r="I706" s="548"/>
      <c r="J706" s="548"/>
      <c r="K706" s="549"/>
      <c r="L706" s="550"/>
      <c r="M706" s="550"/>
      <c r="N706" s="550"/>
      <c r="O706" s="551"/>
      <c r="P706" s="551"/>
    </row>
    <row r="707" spans="1:16" ht="21.75" customHeight="1" x14ac:dyDescent="0.25">
      <c r="A707" s="547"/>
      <c r="B707" s="547"/>
      <c r="C707" s="547"/>
      <c r="D707" s="547"/>
      <c r="E707" s="548"/>
      <c r="F707" s="548"/>
      <c r="G707" s="548"/>
      <c r="H707" s="548"/>
      <c r="I707" s="548"/>
      <c r="J707" s="548"/>
      <c r="K707" s="549"/>
      <c r="L707" s="550"/>
      <c r="M707" s="550"/>
      <c r="N707" s="550"/>
      <c r="O707" s="551"/>
      <c r="P707" s="551"/>
    </row>
    <row r="708" spans="1:16" ht="21.75" customHeight="1" x14ac:dyDescent="0.25">
      <c r="A708" s="547"/>
      <c r="B708" s="547"/>
      <c r="C708" s="547"/>
      <c r="D708" s="547"/>
      <c r="E708" s="548"/>
      <c r="F708" s="548"/>
      <c r="G708" s="548"/>
      <c r="H708" s="548"/>
      <c r="I708" s="548"/>
      <c r="J708" s="548"/>
      <c r="K708" s="549"/>
      <c r="L708" s="550"/>
      <c r="M708" s="550"/>
      <c r="N708" s="550"/>
      <c r="O708" s="551"/>
      <c r="P708" s="551"/>
    </row>
    <row r="709" spans="1:16" ht="21.75" customHeight="1" x14ac:dyDescent="0.25">
      <c r="A709" s="547"/>
      <c r="B709" s="547"/>
      <c r="C709" s="547"/>
      <c r="D709" s="547"/>
      <c r="E709" s="548"/>
      <c r="F709" s="548"/>
      <c r="G709" s="548"/>
      <c r="H709" s="548"/>
      <c r="I709" s="548"/>
      <c r="J709" s="548"/>
      <c r="K709" s="549"/>
      <c r="L709" s="550"/>
      <c r="M709" s="550"/>
      <c r="N709" s="550"/>
      <c r="O709" s="551"/>
      <c r="P709" s="551"/>
    </row>
    <row r="710" spans="1:16" ht="21.75" customHeight="1" x14ac:dyDescent="0.25">
      <c r="A710" s="547"/>
      <c r="B710" s="547"/>
      <c r="C710" s="547"/>
      <c r="D710" s="547"/>
      <c r="E710" s="548"/>
      <c r="F710" s="548"/>
      <c r="G710" s="548"/>
      <c r="H710" s="548"/>
      <c r="I710" s="548"/>
      <c r="J710" s="548"/>
      <c r="K710" s="549"/>
      <c r="L710" s="550"/>
      <c r="M710" s="550"/>
      <c r="N710" s="550"/>
      <c r="O710" s="551"/>
      <c r="P710" s="551"/>
    </row>
    <row r="711" spans="1:16" ht="21.75" customHeight="1" x14ac:dyDescent="0.25">
      <c r="A711" s="547"/>
      <c r="B711" s="547"/>
      <c r="C711" s="547"/>
      <c r="D711" s="547"/>
      <c r="E711" s="548"/>
      <c r="F711" s="548"/>
      <c r="G711" s="548"/>
      <c r="H711" s="548"/>
      <c r="I711" s="548"/>
      <c r="J711" s="548"/>
      <c r="K711" s="549"/>
      <c r="L711" s="550"/>
      <c r="M711" s="550"/>
      <c r="N711" s="550"/>
      <c r="O711" s="551"/>
      <c r="P711" s="551"/>
    </row>
    <row r="712" spans="1:16" ht="21.75" customHeight="1" x14ac:dyDescent="0.25">
      <c r="A712" s="547"/>
      <c r="B712" s="547"/>
      <c r="C712" s="547"/>
      <c r="D712" s="547"/>
      <c r="E712" s="548"/>
      <c r="F712" s="548"/>
      <c r="G712" s="548"/>
      <c r="H712" s="548"/>
      <c r="I712" s="548"/>
      <c r="J712" s="548"/>
      <c r="K712" s="549"/>
      <c r="L712" s="550"/>
      <c r="M712" s="550"/>
      <c r="N712" s="550"/>
      <c r="O712" s="551"/>
      <c r="P712" s="551"/>
    </row>
    <row r="713" spans="1:16" ht="21.75" customHeight="1" x14ac:dyDescent="0.25">
      <c r="A713" s="547"/>
      <c r="B713" s="547"/>
      <c r="C713" s="547"/>
      <c r="D713" s="547"/>
      <c r="E713" s="548"/>
      <c r="F713" s="548"/>
      <c r="G713" s="548"/>
      <c r="H713" s="548"/>
      <c r="I713" s="548"/>
      <c r="J713" s="548"/>
      <c r="K713" s="549"/>
      <c r="L713" s="550"/>
      <c r="M713" s="550"/>
      <c r="N713" s="550"/>
      <c r="O713" s="551"/>
      <c r="P713" s="551"/>
    </row>
    <row r="714" spans="1:16" ht="21.75" customHeight="1" x14ac:dyDescent="0.25">
      <c r="A714" s="547"/>
      <c r="B714" s="547"/>
      <c r="C714" s="547"/>
      <c r="D714" s="547"/>
      <c r="E714" s="548"/>
      <c r="F714" s="548"/>
      <c r="G714" s="548"/>
      <c r="H714" s="548"/>
      <c r="I714" s="548"/>
      <c r="J714" s="548"/>
      <c r="K714" s="549"/>
      <c r="L714" s="550"/>
      <c r="M714" s="550"/>
      <c r="N714" s="550"/>
      <c r="O714" s="551"/>
      <c r="P714" s="551"/>
    </row>
    <row r="715" spans="1:16" ht="21.75" customHeight="1" x14ac:dyDescent="0.25">
      <c r="A715" s="547"/>
      <c r="B715" s="547"/>
      <c r="C715" s="547"/>
      <c r="D715" s="547"/>
      <c r="E715" s="548"/>
      <c r="F715" s="548"/>
      <c r="G715" s="548"/>
      <c r="H715" s="548"/>
      <c r="I715" s="548"/>
      <c r="J715" s="548"/>
      <c r="K715" s="549"/>
      <c r="L715" s="550"/>
      <c r="M715" s="550"/>
      <c r="N715" s="550"/>
      <c r="O715" s="551"/>
      <c r="P715" s="551"/>
    </row>
    <row r="716" spans="1:16" ht="21.75" customHeight="1" x14ac:dyDescent="0.25">
      <c r="A716" s="547"/>
      <c r="B716" s="547"/>
      <c r="C716" s="547"/>
      <c r="D716" s="547"/>
      <c r="E716" s="548"/>
      <c r="F716" s="548"/>
      <c r="G716" s="548"/>
      <c r="H716" s="548"/>
      <c r="I716" s="548"/>
      <c r="J716" s="548"/>
      <c r="K716" s="549"/>
      <c r="L716" s="550"/>
      <c r="M716" s="550"/>
      <c r="N716" s="550"/>
      <c r="O716" s="551"/>
      <c r="P716" s="551"/>
    </row>
    <row r="717" spans="1:16" ht="21.75" customHeight="1" x14ac:dyDescent="0.25">
      <c r="A717" s="547"/>
      <c r="B717" s="547"/>
      <c r="C717" s="547"/>
      <c r="D717" s="547"/>
      <c r="E717" s="548"/>
      <c r="F717" s="548"/>
      <c r="G717" s="548"/>
      <c r="H717" s="548"/>
      <c r="I717" s="548"/>
      <c r="J717" s="548"/>
      <c r="K717" s="549"/>
      <c r="L717" s="550"/>
      <c r="M717" s="550"/>
      <c r="N717" s="550"/>
      <c r="O717" s="551"/>
      <c r="P717" s="551"/>
    </row>
    <row r="718" spans="1:16" ht="21.75" customHeight="1" x14ac:dyDescent="0.25">
      <c r="A718" s="547"/>
      <c r="B718" s="547"/>
      <c r="C718" s="547"/>
      <c r="D718" s="547"/>
      <c r="E718" s="548"/>
      <c r="F718" s="548"/>
      <c r="G718" s="548"/>
      <c r="H718" s="548"/>
      <c r="I718" s="548"/>
      <c r="J718" s="548"/>
      <c r="K718" s="549"/>
      <c r="L718" s="550"/>
      <c r="M718" s="550"/>
      <c r="N718" s="550"/>
      <c r="O718" s="551"/>
      <c r="P718" s="551"/>
    </row>
    <row r="719" spans="1:16" ht="21.75" customHeight="1" x14ac:dyDescent="0.25">
      <c r="A719" s="547"/>
      <c r="B719" s="547"/>
      <c r="C719" s="547"/>
      <c r="D719" s="547"/>
      <c r="E719" s="548"/>
      <c r="F719" s="548"/>
      <c r="G719" s="548"/>
      <c r="H719" s="548"/>
      <c r="I719" s="548"/>
      <c r="J719" s="548"/>
      <c r="K719" s="549"/>
      <c r="L719" s="550"/>
      <c r="M719" s="550"/>
      <c r="N719" s="550"/>
      <c r="O719" s="551"/>
      <c r="P719" s="551"/>
    </row>
    <row r="720" spans="1:16" ht="21.75" customHeight="1" x14ac:dyDescent="0.25">
      <c r="A720" s="547"/>
      <c r="B720" s="547"/>
      <c r="C720" s="547"/>
      <c r="D720" s="547"/>
      <c r="E720" s="548"/>
      <c r="F720" s="548"/>
      <c r="G720" s="548"/>
      <c r="H720" s="548"/>
      <c r="I720" s="548"/>
      <c r="J720" s="548"/>
      <c r="K720" s="549"/>
      <c r="L720" s="550"/>
      <c r="M720" s="550"/>
      <c r="N720" s="550"/>
      <c r="O720" s="551"/>
      <c r="P720" s="551"/>
    </row>
    <row r="721" spans="1:16" ht="21.75" customHeight="1" x14ac:dyDescent="0.25">
      <c r="A721" s="547"/>
      <c r="B721" s="547"/>
      <c r="C721" s="547"/>
      <c r="D721" s="547"/>
      <c r="E721" s="548"/>
      <c r="F721" s="548"/>
      <c r="G721" s="548"/>
      <c r="H721" s="548"/>
      <c r="I721" s="548"/>
      <c r="J721" s="548"/>
      <c r="K721" s="549"/>
      <c r="L721" s="550"/>
      <c r="M721" s="550"/>
      <c r="N721" s="550"/>
      <c r="O721" s="551"/>
      <c r="P721" s="551"/>
    </row>
    <row r="722" spans="1:16" ht="21.75" customHeight="1" x14ac:dyDescent="0.25">
      <c r="A722" s="547"/>
      <c r="B722" s="547"/>
      <c r="C722" s="547"/>
      <c r="D722" s="547"/>
      <c r="E722" s="548"/>
      <c r="F722" s="548"/>
      <c r="G722" s="548"/>
      <c r="H722" s="548"/>
      <c r="I722" s="548"/>
      <c r="J722" s="548"/>
      <c r="K722" s="549"/>
      <c r="L722" s="550"/>
      <c r="M722" s="550"/>
      <c r="N722" s="550"/>
      <c r="O722" s="551"/>
      <c r="P722" s="551"/>
    </row>
    <row r="723" spans="1:16" ht="21.75" customHeight="1" x14ac:dyDescent="0.25">
      <c r="A723" s="547"/>
      <c r="B723" s="547"/>
      <c r="C723" s="547"/>
      <c r="D723" s="547"/>
      <c r="E723" s="548"/>
      <c r="F723" s="548"/>
      <c r="G723" s="548"/>
      <c r="H723" s="548"/>
      <c r="I723" s="548"/>
      <c r="J723" s="548"/>
      <c r="K723" s="549"/>
      <c r="L723" s="550"/>
      <c r="M723" s="550"/>
      <c r="N723" s="550"/>
      <c r="O723" s="551"/>
      <c r="P723" s="551"/>
    </row>
    <row r="724" spans="1:16" ht="21.75" customHeight="1" x14ac:dyDescent="0.25">
      <c r="A724" s="547"/>
      <c r="B724" s="547"/>
      <c r="C724" s="547"/>
      <c r="D724" s="547"/>
      <c r="E724" s="548"/>
      <c r="F724" s="548"/>
      <c r="G724" s="548"/>
      <c r="H724" s="548"/>
      <c r="I724" s="548"/>
      <c r="J724" s="548"/>
      <c r="K724" s="549"/>
      <c r="L724" s="550"/>
      <c r="M724" s="550"/>
      <c r="N724" s="550"/>
      <c r="O724" s="551"/>
      <c r="P724" s="551"/>
    </row>
    <row r="725" spans="1:16" ht="21.75" customHeight="1" x14ac:dyDescent="0.25">
      <c r="A725" s="547"/>
      <c r="B725" s="547"/>
      <c r="C725" s="547"/>
      <c r="D725" s="547"/>
      <c r="E725" s="548"/>
      <c r="F725" s="548"/>
      <c r="G725" s="548"/>
      <c r="H725" s="548"/>
      <c r="I725" s="548"/>
      <c r="J725" s="548"/>
      <c r="K725" s="549"/>
      <c r="L725" s="550"/>
      <c r="M725" s="550"/>
      <c r="N725" s="550"/>
      <c r="O725" s="551"/>
      <c r="P725" s="551"/>
    </row>
    <row r="726" spans="1:16" ht="21.75" customHeight="1" x14ac:dyDescent="0.25">
      <c r="A726" s="547"/>
      <c r="B726" s="547"/>
      <c r="C726" s="547"/>
      <c r="D726" s="547"/>
      <c r="E726" s="548"/>
      <c r="F726" s="548"/>
      <c r="G726" s="548"/>
      <c r="H726" s="548"/>
      <c r="I726" s="548"/>
      <c r="J726" s="548"/>
      <c r="K726" s="549"/>
      <c r="L726" s="550"/>
      <c r="M726" s="550"/>
      <c r="N726" s="550"/>
      <c r="O726" s="551"/>
      <c r="P726" s="551"/>
    </row>
    <row r="727" spans="1:16" ht="21.75" customHeight="1" x14ac:dyDescent="0.25">
      <c r="A727" s="547"/>
      <c r="B727" s="547"/>
      <c r="C727" s="547"/>
      <c r="D727" s="547"/>
      <c r="E727" s="548"/>
      <c r="F727" s="548"/>
      <c r="G727" s="548"/>
      <c r="H727" s="548"/>
      <c r="I727" s="548"/>
      <c r="J727" s="548"/>
      <c r="K727" s="549"/>
      <c r="L727" s="550"/>
      <c r="M727" s="550"/>
      <c r="N727" s="550"/>
      <c r="O727" s="551"/>
      <c r="P727" s="551"/>
    </row>
    <row r="728" spans="1:16" ht="21.75" customHeight="1" x14ac:dyDescent="0.25">
      <c r="A728" s="547"/>
      <c r="B728" s="547"/>
      <c r="C728" s="547"/>
      <c r="D728" s="547"/>
      <c r="E728" s="548"/>
      <c r="F728" s="548"/>
      <c r="G728" s="548"/>
      <c r="H728" s="548"/>
      <c r="I728" s="548"/>
      <c r="J728" s="548"/>
      <c r="K728" s="549"/>
      <c r="L728" s="550"/>
      <c r="M728" s="550"/>
      <c r="N728" s="550"/>
      <c r="O728" s="551"/>
      <c r="P728" s="551"/>
    </row>
    <row r="729" spans="1:16" ht="21.75" customHeight="1" x14ac:dyDescent="0.25">
      <c r="A729" s="547"/>
      <c r="B729" s="547"/>
      <c r="C729" s="547"/>
      <c r="D729" s="547"/>
      <c r="E729" s="548"/>
      <c r="F729" s="548"/>
      <c r="G729" s="548"/>
      <c r="H729" s="548"/>
      <c r="I729" s="548"/>
      <c r="J729" s="548"/>
      <c r="K729" s="549"/>
      <c r="L729" s="550"/>
      <c r="M729" s="550"/>
      <c r="N729" s="550"/>
      <c r="O729" s="551"/>
      <c r="P729" s="551"/>
    </row>
    <row r="730" spans="1:16" ht="21.75" customHeight="1" x14ac:dyDescent="0.25">
      <c r="A730" s="547"/>
      <c r="B730" s="547"/>
      <c r="C730" s="547"/>
      <c r="D730" s="547"/>
      <c r="E730" s="548"/>
      <c r="F730" s="548"/>
      <c r="G730" s="548"/>
      <c r="H730" s="548"/>
      <c r="I730" s="548"/>
      <c r="J730" s="548"/>
      <c r="K730" s="549"/>
      <c r="L730" s="550"/>
      <c r="M730" s="550"/>
      <c r="N730" s="550"/>
      <c r="O730" s="551"/>
      <c r="P730" s="551"/>
    </row>
    <row r="731" spans="1:16" ht="21.75" customHeight="1" x14ac:dyDescent="0.25">
      <c r="A731" s="547"/>
      <c r="B731" s="547"/>
      <c r="C731" s="547"/>
      <c r="D731" s="547"/>
      <c r="E731" s="548"/>
      <c r="F731" s="548"/>
      <c r="G731" s="548"/>
      <c r="H731" s="548"/>
      <c r="I731" s="548"/>
      <c r="J731" s="548"/>
      <c r="K731" s="549"/>
      <c r="L731" s="550"/>
      <c r="M731" s="550"/>
      <c r="N731" s="550"/>
      <c r="O731" s="551"/>
      <c r="P731" s="551"/>
    </row>
    <row r="732" spans="1:16" ht="21.75" customHeight="1" x14ac:dyDescent="0.25">
      <c r="A732" s="547"/>
      <c r="B732" s="547"/>
      <c r="C732" s="547"/>
      <c r="D732" s="547"/>
      <c r="E732" s="548"/>
      <c r="F732" s="548"/>
      <c r="G732" s="548"/>
      <c r="H732" s="548"/>
      <c r="I732" s="548"/>
      <c r="J732" s="548"/>
      <c r="K732" s="549"/>
      <c r="L732" s="550"/>
      <c r="M732" s="550"/>
      <c r="N732" s="550"/>
      <c r="O732" s="551"/>
      <c r="P732" s="551"/>
    </row>
    <row r="733" spans="1:16" ht="21.75" customHeight="1" x14ac:dyDescent="0.25">
      <c r="A733" s="547"/>
      <c r="B733" s="547"/>
      <c r="C733" s="547"/>
      <c r="D733" s="547"/>
      <c r="E733" s="548"/>
      <c r="F733" s="548"/>
      <c r="G733" s="548"/>
      <c r="H733" s="548"/>
      <c r="I733" s="548"/>
      <c r="J733" s="548"/>
      <c r="K733" s="549"/>
      <c r="L733" s="550"/>
      <c r="M733" s="550"/>
      <c r="N733" s="550"/>
      <c r="O733" s="551"/>
      <c r="P733" s="551"/>
    </row>
    <row r="734" spans="1:16" ht="21.75" customHeight="1" x14ac:dyDescent="0.25">
      <c r="A734" s="547"/>
      <c r="B734" s="547"/>
      <c r="C734" s="547"/>
      <c r="D734" s="547"/>
      <c r="E734" s="548"/>
      <c r="F734" s="548"/>
      <c r="G734" s="548"/>
      <c r="H734" s="548"/>
      <c r="I734" s="548"/>
      <c r="J734" s="548"/>
      <c r="K734" s="549"/>
      <c r="L734" s="550"/>
      <c r="M734" s="550"/>
      <c r="N734" s="550"/>
      <c r="O734" s="551"/>
      <c r="P734" s="551"/>
    </row>
    <row r="735" spans="1:16" ht="21.75" customHeight="1" x14ac:dyDescent="0.25">
      <c r="A735" s="547"/>
      <c r="B735" s="547"/>
      <c r="C735" s="547"/>
      <c r="D735" s="547"/>
      <c r="E735" s="548"/>
      <c r="F735" s="548"/>
      <c r="G735" s="548"/>
      <c r="H735" s="548"/>
      <c r="I735" s="548"/>
      <c r="J735" s="548"/>
      <c r="K735" s="549"/>
      <c r="L735" s="550"/>
      <c r="M735" s="550"/>
      <c r="N735" s="550"/>
      <c r="O735" s="551"/>
      <c r="P735" s="551"/>
    </row>
    <row r="736" spans="1:16" ht="21.75" customHeight="1" x14ac:dyDescent="0.25">
      <c r="A736" s="547"/>
      <c r="B736" s="547"/>
      <c r="C736" s="547"/>
      <c r="D736" s="547"/>
      <c r="E736" s="548"/>
      <c r="F736" s="548"/>
      <c r="G736" s="548"/>
      <c r="H736" s="548"/>
      <c r="I736" s="548"/>
      <c r="J736" s="548"/>
      <c r="K736" s="549"/>
      <c r="L736" s="550"/>
      <c r="M736" s="550"/>
      <c r="N736" s="550"/>
      <c r="O736" s="551"/>
      <c r="P736" s="551"/>
    </row>
    <row r="737" spans="1:16" ht="21.75" customHeight="1" x14ac:dyDescent="0.25">
      <c r="A737" s="547"/>
      <c r="B737" s="547"/>
      <c r="C737" s="547"/>
      <c r="D737" s="547"/>
      <c r="E737" s="548"/>
      <c r="F737" s="548"/>
      <c r="G737" s="548"/>
      <c r="H737" s="548"/>
      <c r="I737" s="548"/>
      <c r="J737" s="548"/>
      <c r="K737" s="549"/>
      <c r="L737" s="550"/>
      <c r="M737" s="550"/>
      <c r="N737" s="550"/>
      <c r="O737" s="551"/>
      <c r="P737" s="551"/>
    </row>
    <row r="738" spans="1:16" ht="21.75" customHeight="1" x14ac:dyDescent="0.25">
      <c r="A738" s="547"/>
      <c r="B738" s="547"/>
      <c r="C738" s="547"/>
      <c r="D738" s="547"/>
      <c r="E738" s="548"/>
      <c r="F738" s="548"/>
      <c r="G738" s="548"/>
      <c r="H738" s="548"/>
      <c r="I738" s="548"/>
      <c r="J738" s="548"/>
      <c r="K738" s="549"/>
      <c r="L738" s="550"/>
      <c r="M738" s="550"/>
      <c r="N738" s="550"/>
      <c r="O738" s="551"/>
      <c r="P738" s="551"/>
    </row>
    <row r="739" spans="1:16" ht="21.75" customHeight="1" x14ac:dyDescent="0.25">
      <c r="A739" s="547"/>
      <c r="B739" s="547"/>
      <c r="C739" s="547"/>
      <c r="D739" s="547"/>
      <c r="E739" s="548"/>
      <c r="F739" s="548"/>
      <c r="G739" s="548"/>
      <c r="H739" s="548"/>
      <c r="I739" s="548"/>
      <c r="J739" s="548"/>
      <c r="K739" s="549"/>
      <c r="L739" s="550"/>
      <c r="M739" s="550"/>
      <c r="N739" s="550"/>
      <c r="O739" s="551"/>
      <c r="P739" s="551"/>
    </row>
    <row r="740" spans="1:16" ht="21.75" customHeight="1" x14ac:dyDescent="0.25">
      <c r="A740" s="547"/>
      <c r="B740" s="547"/>
      <c r="C740" s="547"/>
      <c r="D740" s="547"/>
      <c r="E740" s="548"/>
      <c r="F740" s="548"/>
      <c r="G740" s="548"/>
      <c r="H740" s="548"/>
      <c r="I740" s="548"/>
      <c r="J740" s="548"/>
      <c r="K740" s="549"/>
      <c r="L740" s="550"/>
      <c r="M740" s="550"/>
      <c r="N740" s="550"/>
      <c r="O740" s="551"/>
      <c r="P740" s="551"/>
    </row>
    <row r="741" spans="1:16" ht="21.75" customHeight="1" x14ac:dyDescent="0.25">
      <c r="A741" s="547"/>
      <c r="B741" s="547"/>
      <c r="C741" s="547"/>
      <c r="D741" s="547"/>
      <c r="E741" s="548"/>
      <c r="F741" s="548"/>
      <c r="G741" s="548"/>
      <c r="H741" s="548"/>
      <c r="I741" s="548"/>
      <c r="J741" s="548"/>
      <c r="K741" s="549"/>
      <c r="L741" s="550"/>
      <c r="M741" s="550"/>
      <c r="N741" s="550"/>
      <c r="O741" s="551"/>
      <c r="P741" s="551"/>
    </row>
    <row r="742" spans="1:16" ht="21.75" customHeight="1" x14ac:dyDescent="0.25">
      <c r="A742" s="547"/>
      <c r="B742" s="547"/>
      <c r="C742" s="547"/>
      <c r="D742" s="547"/>
      <c r="E742" s="548"/>
      <c r="F742" s="548"/>
      <c r="G742" s="548"/>
      <c r="H742" s="548"/>
      <c r="I742" s="548"/>
      <c r="J742" s="548"/>
      <c r="K742" s="549"/>
      <c r="L742" s="550"/>
      <c r="M742" s="550"/>
      <c r="N742" s="550"/>
      <c r="O742" s="551"/>
      <c r="P742" s="551"/>
    </row>
    <row r="743" spans="1:16" ht="21.75" customHeight="1" x14ac:dyDescent="0.25">
      <c r="A743" s="547"/>
      <c r="B743" s="547"/>
      <c r="C743" s="547"/>
      <c r="D743" s="547"/>
      <c r="E743" s="548"/>
      <c r="F743" s="548"/>
      <c r="G743" s="548"/>
      <c r="H743" s="548"/>
      <c r="I743" s="548"/>
      <c r="J743" s="548"/>
      <c r="K743" s="549"/>
      <c r="L743" s="550"/>
      <c r="M743" s="550"/>
      <c r="N743" s="550"/>
      <c r="O743" s="551"/>
      <c r="P743" s="551"/>
    </row>
    <row r="744" spans="1:16" ht="21.75" customHeight="1" x14ac:dyDescent="0.25">
      <c r="A744" s="547"/>
      <c r="B744" s="547"/>
      <c r="C744" s="547"/>
      <c r="D744" s="547"/>
      <c r="E744" s="548"/>
      <c r="F744" s="548"/>
      <c r="G744" s="548"/>
      <c r="H744" s="548"/>
      <c r="I744" s="548"/>
      <c r="J744" s="548"/>
      <c r="K744" s="549"/>
      <c r="L744" s="550"/>
      <c r="M744" s="550"/>
      <c r="N744" s="550"/>
      <c r="O744" s="551"/>
      <c r="P744" s="551"/>
    </row>
    <row r="745" spans="1:16" ht="21.75" customHeight="1" x14ac:dyDescent="0.25">
      <c r="A745" s="547"/>
      <c r="B745" s="547"/>
      <c r="C745" s="547"/>
      <c r="D745" s="547"/>
      <c r="E745" s="548"/>
      <c r="F745" s="548"/>
      <c r="G745" s="548"/>
      <c r="H745" s="548"/>
      <c r="I745" s="548"/>
      <c r="J745" s="548"/>
      <c r="K745" s="549"/>
      <c r="L745" s="550"/>
      <c r="M745" s="550"/>
      <c r="N745" s="550"/>
      <c r="O745" s="551"/>
      <c r="P745" s="551"/>
    </row>
    <row r="746" spans="1:16" ht="21.75" customHeight="1" x14ac:dyDescent="0.25">
      <c r="A746" s="547"/>
      <c r="B746" s="547"/>
      <c r="C746" s="547"/>
      <c r="D746" s="547"/>
      <c r="E746" s="548"/>
      <c r="F746" s="548"/>
      <c r="G746" s="548"/>
      <c r="H746" s="548"/>
      <c r="I746" s="548"/>
      <c r="J746" s="548"/>
      <c r="K746" s="549"/>
      <c r="L746" s="550"/>
      <c r="M746" s="550"/>
      <c r="N746" s="550"/>
      <c r="O746" s="551"/>
      <c r="P746" s="551"/>
    </row>
    <row r="747" spans="1:16" ht="21.75" customHeight="1" x14ac:dyDescent="0.25">
      <c r="A747" s="547"/>
      <c r="B747" s="547"/>
      <c r="C747" s="547"/>
      <c r="D747" s="547"/>
      <c r="E747" s="548"/>
      <c r="F747" s="548"/>
      <c r="G747" s="548"/>
      <c r="H747" s="548"/>
      <c r="I747" s="548"/>
      <c r="J747" s="548"/>
      <c r="K747" s="549"/>
      <c r="L747" s="550"/>
      <c r="M747" s="550"/>
      <c r="N747" s="550"/>
      <c r="O747" s="551"/>
      <c r="P747" s="551"/>
    </row>
    <row r="748" spans="1:16" ht="21.75" customHeight="1" x14ac:dyDescent="0.25">
      <c r="A748" s="547"/>
      <c r="B748" s="547"/>
      <c r="C748" s="547"/>
      <c r="D748" s="547"/>
      <c r="E748" s="548"/>
      <c r="F748" s="548"/>
      <c r="G748" s="548"/>
      <c r="H748" s="548"/>
      <c r="I748" s="548"/>
      <c r="J748" s="548"/>
      <c r="K748" s="549"/>
      <c r="L748" s="550"/>
      <c r="M748" s="550"/>
      <c r="N748" s="550"/>
      <c r="O748" s="551"/>
      <c r="P748" s="551"/>
    </row>
    <row r="749" spans="1:16" ht="21.75" customHeight="1" x14ac:dyDescent="0.25">
      <c r="A749" s="547"/>
      <c r="B749" s="547"/>
      <c r="C749" s="547"/>
      <c r="D749" s="547"/>
      <c r="E749" s="548"/>
      <c r="F749" s="548"/>
      <c r="G749" s="548"/>
      <c r="H749" s="548"/>
      <c r="I749" s="548"/>
      <c r="J749" s="548"/>
      <c r="K749" s="549"/>
      <c r="L749" s="550"/>
      <c r="M749" s="550"/>
      <c r="N749" s="550"/>
      <c r="O749" s="551"/>
      <c r="P749" s="551"/>
    </row>
    <row r="750" spans="1:16" ht="21.75" customHeight="1" x14ac:dyDescent="0.25">
      <c r="A750" s="547"/>
      <c r="B750" s="547"/>
      <c r="C750" s="547"/>
      <c r="D750" s="547"/>
      <c r="E750" s="548"/>
      <c r="F750" s="548"/>
      <c r="G750" s="548"/>
      <c r="H750" s="548"/>
      <c r="I750" s="548"/>
      <c r="J750" s="548"/>
      <c r="K750" s="549"/>
      <c r="L750" s="550"/>
      <c r="M750" s="550"/>
      <c r="N750" s="550"/>
      <c r="O750" s="551"/>
      <c r="P750" s="551"/>
    </row>
    <row r="751" spans="1:16" ht="21.75" customHeight="1" x14ac:dyDescent="0.25">
      <c r="A751" s="547"/>
      <c r="B751" s="547"/>
      <c r="C751" s="547"/>
      <c r="D751" s="547"/>
      <c r="E751" s="548"/>
      <c r="F751" s="548"/>
      <c r="G751" s="548"/>
      <c r="H751" s="548"/>
      <c r="I751" s="548"/>
      <c r="J751" s="548"/>
      <c r="K751" s="549"/>
      <c r="L751" s="550"/>
      <c r="M751" s="550"/>
      <c r="N751" s="550"/>
      <c r="O751" s="551"/>
      <c r="P751" s="551"/>
    </row>
    <row r="752" spans="1:16" ht="21.75" customHeight="1" x14ac:dyDescent="0.25">
      <c r="A752" s="547"/>
      <c r="B752" s="547"/>
      <c r="C752" s="547"/>
      <c r="D752" s="547"/>
      <c r="E752" s="548"/>
      <c r="F752" s="548"/>
      <c r="G752" s="548"/>
      <c r="H752" s="548"/>
      <c r="I752" s="548"/>
      <c r="J752" s="548"/>
      <c r="K752" s="549"/>
      <c r="L752" s="550"/>
      <c r="M752" s="550"/>
      <c r="N752" s="550"/>
      <c r="O752" s="551"/>
      <c r="P752" s="551"/>
    </row>
    <row r="753" spans="1:16" ht="21.75" customHeight="1" x14ac:dyDescent="0.25">
      <c r="A753" s="547"/>
      <c r="B753" s="547"/>
      <c r="C753" s="547"/>
      <c r="D753" s="547"/>
      <c r="E753" s="548"/>
      <c r="F753" s="548"/>
      <c r="G753" s="548"/>
      <c r="H753" s="548"/>
      <c r="I753" s="548"/>
      <c r="J753" s="548"/>
      <c r="K753" s="549"/>
      <c r="L753" s="550"/>
      <c r="M753" s="550"/>
      <c r="N753" s="550"/>
      <c r="O753" s="551"/>
      <c r="P753" s="551"/>
    </row>
    <row r="754" spans="1:16" ht="21.75" customHeight="1" x14ac:dyDescent="0.25">
      <c r="A754" s="547"/>
      <c r="B754" s="547"/>
      <c r="C754" s="547"/>
      <c r="D754" s="547"/>
      <c r="E754" s="548"/>
      <c r="F754" s="548"/>
      <c r="G754" s="548"/>
      <c r="H754" s="548"/>
      <c r="I754" s="548"/>
      <c r="J754" s="548"/>
      <c r="K754" s="549"/>
      <c r="L754" s="550"/>
      <c r="M754" s="550"/>
      <c r="N754" s="550"/>
      <c r="O754" s="551"/>
      <c r="P754" s="551"/>
    </row>
    <row r="755" spans="1:16" ht="21.75" customHeight="1" x14ac:dyDescent="0.25">
      <c r="A755" s="547"/>
      <c r="B755" s="547"/>
      <c r="C755" s="547"/>
      <c r="D755" s="547"/>
      <c r="E755" s="548"/>
      <c r="F755" s="548"/>
      <c r="G755" s="548"/>
      <c r="H755" s="548"/>
      <c r="I755" s="548"/>
      <c r="J755" s="548"/>
      <c r="K755" s="549"/>
      <c r="L755" s="550"/>
      <c r="M755" s="550"/>
      <c r="N755" s="550"/>
      <c r="O755" s="551"/>
      <c r="P755" s="551"/>
    </row>
    <row r="756" spans="1:16" ht="21.75" customHeight="1" x14ac:dyDescent="0.25">
      <c r="A756" s="547"/>
      <c r="B756" s="547"/>
      <c r="C756" s="547"/>
      <c r="D756" s="547"/>
      <c r="E756" s="548"/>
      <c r="F756" s="548"/>
      <c r="G756" s="548"/>
      <c r="H756" s="548"/>
      <c r="I756" s="548"/>
      <c r="J756" s="548"/>
      <c r="K756" s="549"/>
      <c r="L756" s="550"/>
      <c r="M756" s="550"/>
      <c r="N756" s="550"/>
      <c r="O756" s="551"/>
      <c r="P756" s="551"/>
    </row>
    <row r="757" spans="1:16" ht="21.75" customHeight="1" x14ac:dyDescent="0.25">
      <c r="A757" s="547"/>
      <c r="B757" s="547"/>
      <c r="C757" s="547"/>
      <c r="D757" s="547"/>
      <c r="E757" s="548"/>
      <c r="F757" s="548"/>
      <c r="G757" s="548"/>
      <c r="H757" s="548"/>
      <c r="I757" s="548"/>
      <c r="J757" s="548"/>
      <c r="K757" s="549"/>
      <c r="L757" s="550"/>
      <c r="M757" s="550"/>
      <c r="N757" s="550"/>
      <c r="O757" s="551"/>
      <c r="P757" s="551"/>
    </row>
    <row r="758" spans="1:16" ht="21.75" customHeight="1" x14ac:dyDescent="0.25">
      <c r="A758" s="547"/>
      <c r="B758" s="547"/>
      <c r="C758" s="547"/>
      <c r="D758" s="547"/>
      <c r="E758" s="548"/>
      <c r="F758" s="548"/>
      <c r="G758" s="548"/>
      <c r="H758" s="548"/>
      <c r="I758" s="548"/>
      <c r="J758" s="548"/>
      <c r="K758" s="549"/>
      <c r="L758" s="550"/>
      <c r="M758" s="550"/>
      <c r="N758" s="550"/>
      <c r="O758" s="551"/>
      <c r="P758" s="551"/>
    </row>
    <row r="759" spans="1:16" ht="21.75" customHeight="1" x14ac:dyDescent="0.25">
      <c r="A759" s="547"/>
      <c r="B759" s="547"/>
      <c r="C759" s="547"/>
      <c r="D759" s="547"/>
      <c r="E759" s="548"/>
      <c r="F759" s="548"/>
      <c r="G759" s="548"/>
      <c r="H759" s="548"/>
      <c r="I759" s="548"/>
      <c r="J759" s="548"/>
      <c r="K759" s="549"/>
      <c r="L759" s="550"/>
      <c r="M759" s="550"/>
      <c r="N759" s="550"/>
      <c r="O759" s="551"/>
      <c r="P759" s="551"/>
    </row>
    <row r="760" spans="1:16" ht="21.75" customHeight="1" x14ac:dyDescent="0.25">
      <c r="A760" s="547"/>
      <c r="B760" s="547"/>
      <c r="C760" s="547"/>
      <c r="D760" s="547"/>
      <c r="E760" s="548"/>
      <c r="F760" s="548"/>
      <c r="G760" s="548"/>
      <c r="H760" s="548"/>
      <c r="I760" s="548"/>
      <c r="J760" s="548"/>
      <c r="K760" s="549"/>
      <c r="L760" s="550"/>
      <c r="M760" s="550"/>
      <c r="N760" s="550"/>
      <c r="O760" s="551"/>
      <c r="P760" s="551"/>
    </row>
    <row r="761" spans="1:16" ht="21.75" customHeight="1" x14ac:dyDescent="0.25">
      <c r="A761" s="547"/>
      <c r="B761" s="547"/>
      <c r="C761" s="547"/>
      <c r="D761" s="547"/>
      <c r="E761" s="548"/>
      <c r="F761" s="548"/>
      <c r="G761" s="548"/>
      <c r="H761" s="548"/>
      <c r="I761" s="548"/>
      <c r="J761" s="548"/>
      <c r="K761" s="549"/>
      <c r="L761" s="550"/>
      <c r="M761" s="550"/>
      <c r="N761" s="550"/>
      <c r="O761" s="551"/>
      <c r="P761" s="551"/>
    </row>
    <row r="762" spans="1:16" ht="21.75" customHeight="1" x14ac:dyDescent="0.25">
      <c r="A762" s="547"/>
      <c r="B762" s="547"/>
      <c r="C762" s="547"/>
      <c r="D762" s="547"/>
      <c r="E762" s="548"/>
      <c r="F762" s="548"/>
      <c r="G762" s="548"/>
      <c r="H762" s="548"/>
      <c r="I762" s="548"/>
      <c r="J762" s="548"/>
      <c r="K762" s="549"/>
      <c r="L762" s="550"/>
      <c r="M762" s="550"/>
      <c r="N762" s="550"/>
      <c r="O762" s="551"/>
      <c r="P762" s="551"/>
    </row>
    <row r="763" spans="1:16" ht="21.75" customHeight="1" x14ac:dyDescent="0.25">
      <c r="A763" s="547"/>
      <c r="B763" s="547"/>
      <c r="C763" s="547"/>
      <c r="D763" s="547"/>
      <c r="E763" s="548"/>
      <c r="F763" s="548"/>
      <c r="G763" s="548"/>
      <c r="H763" s="548"/>
      <c r="I763" s="548"/>
      <c r="J763" s="548"/>
      <c r="K763" s="549"/>
      <c r="L763" s="550"/>
      <c r="M763" s="550"/>
      <c r="N763" s="550"/>
      <c r="O763" s="551"/>
      <c r="P763" s="551"/>
    </row>
    <row r="764" spans="1:16" ht="21.75" customHeight="1" x14ac:dyDescent="0.25">
      <c r="A764" s="547"/>
      <c r="B764" s="547"/>
      <c r="C764" s="547"/>
      <c r="D764" s="547"/>
      <c r="E764" s="548"/>
      <c r="F764" s="548"/>
      <c r="G764" s="548"/>
      <c r="H764" s="548"/>
      <c r="I764" s="548"/>
      <c r="J764" s="548"/>
      <c r="K764" s="549"/>
      <c r="L764" s="550"/>
      <c r="M764" s="550"/>
      <c r="N764" s="550"/>
      <c r="O764" s="551"/>
      <c r="P764" s="551"/>
    </row>
    <row r="765" spans="1:16" ht="21.75" customHeight="1" x14ac:dyDescent="0.25">
      <c r="A765" s="547"/>
      <c r="B765" s="547"/>
      <c r="C765" s="547"/>
      <c r="D765" s="547"/>
      <c r="E765" s="548"/>
      <c r="F765" s="548"/>
      <c r="G765" s="548"/>
      <c r="H765" s="548"/>
      <c r="I765" s="548"/>
      <c r="J765" s="548"/>
      <c r="K765" s="549"/>
      <c r="L765" s="550"/>
      <c r="M765" s="550"/>
      <c r="N765" s="550"/>
      <c r="O765" s="551"/>
      <c r="P765" s="551"/>
    </row>
    <row r="766" spans="1:16" ht="21.75" customHeight="1" x14ac:dyDescent="0.25">
      <c r="A766" s="547"/>
      <c r="B766" s="547"/>
      <c r="C766" s="547"/>
      <c r="D766" s="547"/>
      <c r="E766" s="548"/>
      <c r="F766" s="548"/>
      <c r="G766" s="548"/>
      <c r="H766" s="548"/>
      <c r="I766" s="548"/>
      <c r="J766" s="548"/>
      <c r="K766" s="549"/>
      <c r="L766" s="550"/>
      <c r="M766" s="550"/>
      <c r="N766" s="550"/>
      <c r="O766" s="551"/>
      <c r="P766" s="551"/>
    </row>
    <row r="767" spans="1:16" ht="21.75" customHeight="1" x14ac:dyDescent="0.25">
      <c r="A767" s="547"/>
      <c r="B767" s="547"/>
      <c r="C767" s="547"/>
      <c r="D767" s="547"/>
      <c r="E767" s="548"/>
      <c r="F767" s="548"/>
      <c r="G767" s="548"/>
      <c r="H767" s="548"/>
      <c r="I767" s="548"/>
      <c r="J767" s="548"/>
      <c r="K767" s="549"/>
      <c r="L767" s="550"/>
      <c r="M767" s="550"/>
      <c r="N767" s="550"/>
      <c r="O767" s="551"/>
      <c r="P767" s="551"/>
    </row>
    <row r="768" spans="1:16" ht="21.75" customHeight="1" x14ac:dyDescent="0.25">
      <c r="A768" s="547"/>
      <c r="B768" s="547"/>
      <c r="C768" s="547"/>
      <c r="D768" s="547"/>
      <c r="E768" s="548"/>
      <c r="F768" s="548"/>
      <c r="G768" s="548"/>
      <c r="H768" s="548"/>
      <c r="I768" s="548"/>
      <c r="J768" s="548"/>
      <c r="K768" s="549"/>
      <c r="L768" s="550"/>
      <c r="M768" s="550"/>
      <c r="N768" s="550"/>
      <c r="O768" s="551"/>
      <c r="P768" s="551"/>
    </row>
    <row r="769" spans="1:16" ht="21.75" customHeight="1" x14ac:dyDescent="0.25">
      <c r="A769" s="547"/>
      <c r="B769" s="547"/>
      <c r="C769" s="547"/>
      <c r="D769" s="547"/>
      <c r="E769" s="548"/>
      <c r="F769" s="548"/>
      <c r="G769" s="548"/>
      <c r="H769" s="548"/>
      <c r="I769" s="548"/>
      <c r="J769" s="548"/>
      <c r="K769" s="549"/>
      <c r="L769" s="550"/>
      <c r="M769" s="550"/>
      <c r="N769" s="550"/>
      <c r="O769" s="551"/>
      <c r="P769" s="551"/>
    </row>
    <row r="770" spans="1:16" ht="21.75" customHeight="1" x14ac:dyDescent="0.25">
      <c r="A770" s="547"/>
      <c r="B770" s="547"/>
      <c r="C770" s="547"/>
      <c r="D770" s="547"/>
      <c r="E770" s="548"/>
      <c r="F770" s="548"/>
      <c r="G770" s="548"/>
      <c r="H770" s="548"/>
      <c r="I770" s="548"/>
      <c r="J770" s="548"/>
      <c r="K770" s="549"/>
      <c r="L770" s="550"/>
      <c r="M770" s="550"/>
      <c r="N770" s="550"/>
      <c r="O770" s="551"/>
      <c r="P770" s="551"/>
    </row>
    <row r="771" spans="1:16" ht="21.75" customHeight="1" x14ac:dyDescent="0.25">
      <c r="A771" s="547"/>
      <c r="B771" s="547"/>
      <c r="C771" s="547"/>
      <c r="D771" s="547"/>
      <c r="E771" s="548"/>
      <c r="F771" s="548"/>
      <c r="G771" s="548"/>
      <c r="H771" s="548"/>
      <c r="I771" s="548"/>
      <c r="J771" s="548"/>
      <c r="K771" s="549"/>
      <c r="L771" s="550"/>
      <c r="M771" s="550"/>
      <c r="N771" s="550"/>
      <c r="O771" s="551"/>
      <c r="P771" s="551"/>
    </row>
    <row r="772" spans="1:16" ht="21.75" customHeight="1" x14ac:dyDescent="0.25">
      <c r="A772" s="547"/>
      <c r="B772" s="547"/>
      <c r="C772" s="547"/>
      <c r="D772" s="547"/>
      <c r="E772" s="548"/>
      <c r="F772" s="548"/>
      <c r="G772" s="548"/>
      <c r="H772" s="548"/>
      <c r="I772" s="548"/>
      <c r="J772" s="548"/>
      <c r="K772" s="549"/>
      <c r="L772" s="550"/>
      <c r="M772" s="550"/>
      <c r="N772" s="550"/>
      <c r="O772" s="551"/>
      <c r="P772" s="551"/>
    </row>
    <row r="773" spans="1:16" ht="21.75" customHeight="1" x14ac:dyDescent="0.25">
      <c r="A773" s="547"/>
      <c r="B773" s="547"/>
      <c r="C773" s="547"/>
      <c r="D773" s="547"/>
      <c r="E773" s="548"/>
      <c r="F773" s="548"/>
      <c r="G773" s="548"/>
      <c r="H773" s="548"/>
      <c r="I773" s="548"/>
      <c r="J773" s="548"/>
      <c r="K773" s="549"/>
      <c r="L773" s="550"/>
      <c r="M773" s="550"/>
      <c r="N773" s="550"/>
      <c r="O773" s="551"/>
      <c r="P773" s="551"/>
    </row>
    <row r="774" spans="1:16" ht="21.75" customHeight="1" x14ac:dyDescent="0.25">
      <c r="A774" s="547"/>
      <c r="B774" s="547"/>
      <c r="C774" s="547"/>
      <c r="D774" s="547"/>
      <c r="E774" s="548"/>
      <c r="F774" s="548"/>
      <c r="G774" s="548"/>
      <c r="H774" s="548"/>
      <c r="I774" s="548"/>
      <c r="J774" s="548"/>
      <c r="K774" s="549"/>
      <c r="L774" s="550"/>
      <c r="M774" s="550"/>
      <c r="N774" s="550"/>
      <c r="O774" s="551"/>
      <c r="P774" s="551"/>
    </row>
    <row r="775" spans="1:16" ht="21.75" customHeight="1" x14ac:dyDescent="0.25">
      <c r="A775" s="547"/>
      <c r="B775" s="547"/>
      <c r="C775" s="547"/>
      <c r="D775" s="547"/>
      <c r="E775" s="548"/>
      <c r="F775" s="548"/>
      <c r="G775" s="548"/>
      <c r="H775" s="548"/>
      <c r="I775" s="548"/>
      <c r="J775" s="548"/>
      <c r="K775" s="549"/>
      <c r="L775" s="550"/>
      <c r="M775" s="550"/>
      <c r="N775" s="550"/>
      <c r="O775" s="551"/>
      <c r="P775" s="551"/>
    </row>
    <row r="776" spans="1:16" ht="21.75" customHeight="1" x14ac:dyDescent="0.25">
      <c r="A776" s="547"/>
      <c r="B776" s="547"/>
      <c r="C776" s="547"/>
      <c r="D776" s="547"/>
      <c r="E776" s="548"/>
      <c r="F776" s="548"/>
      <c r="G776" s="548"/>
      <c r="H776" s="548"/>
      <c r="I776" s="548"/>
      <c r="J776" s="548"/>
      <c r="K776" s="549"/>
      <c r="L776" s="550"/>
      <c r="M776" s="550"/>
      <c r="N776" s="550"/>
      <c r="O776" s="551"/>
      <c r="P776" s="551"/>
    </row>
    <row r="777" spans="1:16" ht="21.75" customHeight="1" x14ac:dyDescent="0.25">
      <c r="A777" s="547"/>
      <c r="B777" s="547"/>
      <c r="C777" s="547"/>
      <c r="D777" s="547"/>
      <c r="E777" s="548"/>
      <c r="F777" s="548"/>
      <c r="G777" s="548"/>
      <c r="H777" s="548"/>
      <c r="I777" s="548"/>
      <c r="J777" s="548"/>
      <c r="K777" s="549"/>
      <c r="L777" s="550"/>
      <c r="M777" s="550"/>
      <c r="N777" s="550"/>
      <c r="O777" s="551"/>
      <c r="P777" s="551"/>
    </row>
    <row r="778" spans="1:16" ht="21.75" customHeight="1" x14ac:dyDescent="0.25">
      <c r="A778" s="547"/>
      <c r="B778" s="547"/>
      <c r="C778" s="547"/>
      <c r="D778" s="547"/>
      <c r="E778" s="548"/>
      <c r="F778" s="548"/>
      <c r="G778" s="548"/>
      <c r="H778" s="548"/>
      <c r="I778" s="548"/>
      <c r="J778" s="548"/>
      <c r="K778" s="549"/>
      <c r="L778" s="550"/>
      <c r="M778" s="550"/>
      <c r="N778" s="550"/>
      <c r="O778" s="551"/>
      <c r="P778" s="551"/>
    </row>
    <row r="779" spans="1:16" ht="21.75" customHeight="1" x14ac:dyDescent="0.25">
      <c r="A779" s="547"/>
      <c r="B779" s="547"/>
      <c r="C779" s="547"/>
      <c r="D779" s="547"/>
      <c r="E779" s="548"/>
      <c r="F779" s="548"/>
      <c r="G779" s="548"/>
      <c r="H779" s="548"/>
      <c r="I779" s="548"/>
      <c r="J779" s="548"/>
      <c r="K779" s="549"/>
      <c r="L779" s="550"/>
      <c r="M779" s="550"/>
      <c r="N779" s="550"/>
      <c r="O779" s="551"/>
      <c r="P779" s="551"/>
    </row>
    <row r="780" spans="1:16" ht="21.75" customHeight="1" x14ac:dyDescent="0.25">
      <c r="A780" s="547"/>
      <c r="B780" s="547"/>
      <c r="C780" s="547"/>
      <c r="D780" s="547"/>
      <c r="E780" s="548"/>
      <c r="F780" s="548"/>
      <c r="G780" s="548"/>
      <c r="H780" s="548"/>
      <c r="I780" s="548"/>
      <c r="J780" s="548"/>
      <c r="K780" s="549"/>
      <c r="L780" s="550"/>
      <c r="M780" s="550"/>
      <c r="N780" s="550"/>
      <c r="O780" s="551"/>
      <c r="P780" s="551"/>
    </row>
    <row r="781" spans="1:16" ht="21.75" customHeight="1" x14ac:dyDescent="0.25">
      <c r="A781" s="547"/>
      <c r="B781" s="547"/>
      <c r="C781" s="547"/>
      <c r="D781" s="547"/>
      <c r="E781" s="548"/>
      <c r="F781" s="548"/>
      <c r="G781" s="548"/>
      <c r="H781" s="548"/>
      <c r="I781" s="548"/>
      <c r="J781" s="548"/>
      <c r="K781" s="549"/>
      <c r="L781" s="550"/>
      <c r="M781" s="550"/>
      <c r="N781" s="550"/>
      <c r="O781" s="551"/>
      <c r="P781" s="551"/>
    </row>
    <row r="782" spans="1:16" ht="21.75" customHeight="1" x14ac:dyDescent="0.25">
      <c r="A782" s="547"/>
      <c r="B782" s="547"/>
      <c r="C782" s="547"/>
      <c r="D782" s="547"/>
      <c r="E782" s="548"/>
      <c r="F782" s="548"/>
      <c r="G782" s="548"/>
      <c r="H782" s="548"/>
      <c r="I782" s="548"/>
      <c r="J782" s="548"/>
      <c r="K782" s="549"/>
      <c r="L782" s="550"/>
      <c r="M782" s="550"/>
      <c r="N782" s="550"/>
      <c r="O782" s="551"/>
      <c r="P782" s="551"/>
    </row>
    <row r="783" spans="1:16" ht="21.75" customHeight="1" x14ac:dyDescent="0.25">
      <c r="A783" s="547"/>
      <c r="B783" s="547"/>
      <c r="C783" s="547"/>
      <c r="D783" s="547"/>
      <c r="E783" s="548"/>
      <c r="F783" s="548"/>
      <c r="G783" s="548"/>
      <c r="H783" s="548"/>
      <c r="I783" s="548"/>
      <c r="J783" s="548"/>
      <c r="K783" s="549"/>
      <c r="L783" s="550"/>
      <c r="M783" s="550"/>
      <c r="N783" s="550"/>
      <c r="O783" s="551"/>
      <c r="P783" s="551"/>
    </row>
    <row r="784" spans="1:16" ht="21.75" customHeight="1" x14ac:dyDescent="0.25">
      <c r="A784" s="547"/>
      <c r="B784" s="547"/>
      <c r="C784" s="547"/>
      <c r="D784" s="547"/>
      <c r="E784" s="548"/>
      <c r="F784" s="548"/>
      <c r="G784" s="548"/>
      <c r="H784" s="548"/>
      <c r="I784" s="548"/>
      <c r="J784" s="548"/>
      <c r="K784" s="549"/>
      <c r="L784" s="550"/>
      <c r="M784" s="550"/>
      <c r="N784" s="550"/>
      <c r="O784" s="551"/>
      <c r="P784" s="551"/>
    </row>
    <row r="785" spans="1:16" ht="21.75" customHeight="1" x14ac:dyDescent="0.25">
      <c r="A785" s="547"/>
      <c r="B785" s="547"/>
      <c r="C785" s="547"/>
      <c r="D785" s="547"/>
      <c r="E785" s="548"/>
      <c r="F785" s="548"/>
      <c r="G785" s="548"/>
      <c r="H785" s="548"/>
      <c r="I785" s="548"/>
      <c r="J785" s="548"/>
      <c r="K785" s="549"/>
      <c r="L785" s="550"/>
      <c r="M785" s="550"/>
      <c r="N785" s="550"/>
      <c r="O785" s="551"/>
      <c r="P785" s="551"/>
    </row>
    <row r="786" spans="1:16" ht="21.75" customHeight="1" x14ac:dyDescent="0.25">
      <c r="A786" s="547"/>
      <c r="B786" s="547"/>
      <c r="C786" s="547"/>
      <c r="D786" s="547"/>
      <c r="E786" s="548"/>
      <c r="F786" s="548"/>
      <c r="G786" s="548"/>
      <c r="H786" s="548"/>
      <c r="I786" s="548"/>
      <c r="J786" s="548"/>
      <c r="K786" s="549"/>
      <c r="L786" s="550"/>
      <c r="M786" s="550"/>
      <c r="N786" s="550"/>
      <c r="O786" s="551"/>
      <c r="P786" s="551"/>
    </row>
    <row r="787" spans="1:16" ht="21.75" customHeight="1" x14ac:dyDescent="0.25">
      <c r="A787" s="547"/>
      <c r="B787" s="547"/>
      <c r="C787" s="547"/>
      <c r="D787" s="547"/>
      <c r="E787" s="548"/>
      <c r="F787" s="548"/>
      <c r="G787" s="548"/>
      <c r="H787" s="548"/>
      <c r="I787" s="548"/>
      <c r="J787" s="548"/>
      <c r="K787" s="549"/>
      <c r="L787" s="550"/>
      <c r="M787" s="550"/>
      <c r="N787" s="550"/>
      <c r="O787" s="551"/>
      <c r="P787" s="551"/>
    </row>
    <row r="788" spans="1:16" ht="21.75" customHeight="1" x14ac:dyDescent="0.25">
      <c r="A788" s="547"/>
      <c r="B788" s="547"/>
      <c r="C788" s="547"/>
      <c r="D788" s="547"/>
      <c r="E788" s="548"/>
      <c r="F788" s="548"/>
      <c r="G788" s="548"/>
      <c r="H788" s="548"/>
      <c r="I788" s="548"/>
      <c r="J788" s="548"/>
      <c r="K788" s="549"/>
      <c r="L788" s="550"/>
      <c r="M788" s="550"/>
      <c r="N788" s="550"/>
      <c r="O788" s="551"/>
      <c r="P788" s="551"/>
    </row>
    <row r="789" spans="1:16" ht="21.75" customHeight="1" x14ac:dyDescent="0.25">
      <c r="A789" s="547"/>
      <c r="B789" s="547"/>
      <c r="C789" s="547"/>
      <c r="D789" s="547"/>
      <c r="E789" s="548"/>
      <c r="F789" s="548"/>
      <c r="G789" s="548"/>
      <c r="H789" s="548"/>
      <c r="I789" s="548"/>
      <c r="J789" s="548"/>
      <c r="K789" s="549"/>
      <c r="L789" s="550"/>
      <c r="M789" s="550"/>
      <c r="N789" s="550"/>
      <c r="O789" s="551"/>
      <c r="P789" s="551"/>
    </row>
    <row r="790" spans="1:16" ht="21.75" customHeight="1" x14ac:dyDescent="0.25">
      <c r="A790" s="547"/>
      <c r="B790" s="547"/>
      <c r="C790" s="547"/>
      <c r="D790" s="547"/>
      <c r="E790" s="548"/>
      <c r="F790" s="548"/>
      <c r="G790" s="548"/>
      <c r="H790" s="548"/>
      <c r="I790" s="548"/>
      <c r="J790" s="548"/>
      <c r="K790" s="549"/>
      <c r="L790" s="550"/>
      <c r="M790" s="550"/>
      <c r="N790" s="550"/>
      <c r="O790" s="551"/>
      <c r="P790" s="551"/>
    </row>
    <row r="791" spans="1:16" ht="21.75" customHeight="1" x14ac:dyDescent="0.25">
      <c r="A791" s="547"/>
      <c r="B791" s="547"/>
      <c r="C791" s="547"/>
      <c r="D791" s="547"/>
      <c r="E791" s="548"/>
      <c r="F791" s="548"/>
      <c r="G791" s="548"/>
      <c r="H791" s="548"/>
      <c r="I791" s="548"/>
      <c r="J791" s="548"/>
      <c r="K791" s="549"/>
      <c r="L791" s="550"/>
      <c r="M791" s="550"/>
      <c r="N791" s="550"/>
      <c r="O791" s="551"/>
      <c r="P791" s="551"/>
    </row>
    <row r="792" spans="1:16" ht="21.75" customHeight="1" x14ac:dyDescent="0.25">
      <c r="A792" s="547"/>
      <c r="B792" s="547"/>
      <c r="C792" s="547"/>
      <c r="D792" s="547"/>
      <c r="E792" s="548"/>
      <c r="F792" s="548"/>
      <c r="G792" s="548"/>
      <c r="H792" s="548"/>
      <c r="I792" s="548"/>
      <c r="J792" s="548"/>
      <c r="K792" s="549"/>
      <c r="L792" s="550"/>
      <c r="M792" s="550"/>
      <c r="N792" s="550"/>
      <c r="O792" s="551"/>
      <c r="P792" s="551"/>
    </row>
    <row r="793" spans="1:16" ht="21.75" customHeight="1" x14ac:dyDescent="0.25">
      <c r="A793" s="547"/>
      <c r="B793" s="547"/>
      <c r="C793" s="547"/>
      <c r="D793" s="547"/>
      <c r="E793" s="548"/>
      <c r="F793" s="548"/>
      <c r="G793" s="548"/>
      <c r="H793" s="548"/>
      <c r="I793" s="548"/>
      <c r="J793" s="548"/>
      <c r="K793" s="549"/>
      <c r="L793" s="550"/>
      <c r="M793" s="550"/>
      <c r="N793" s="550"/>
      <c r="O793" s="551"/>
      <c r="P793" s="551"/>
    </row>
    <row r="794" spans="1:16" ht="21.75" customHeight="1" x14ac:dyDescent="0.25">
      <c r="A794" s="547"/>
      <c r="B794" s="547"/>
      <c r="C794" s="547"/>
      <c r="D794" s="547"/>
      <c r="E794" s="548"/>
      <c r="F794" s="548"/>
      <c r="G794" s="548"/>
      <c r="H794" s="548"/>
      <c r="I794" s="548"/>
      <c r="J794" s="548"/>
      <c r="K794" s="549"/>
      <c r="L794" s="550"/>
      <c r="M794" s="550"/>
      <c r="N794" s="550"/>
      <c r="O794" s="551"/>
      <c r="P794" s="551"/>
    </row>
    <row r="795" spans="1:16" ht="21.75" customHeight="1" x14ac:dyDescent="0.25">
      <c r="A795" s="547"/>
      <c r="B795" s="547"/>
      <c r="C795" s="547"/>
      <c r="D795" s="547"/>
      <c r="E795" s="548"/>
      <c r="F795" s="548"/>
      <c r="G795" s="548"/>
      <c r="H795" s="548"/>
      <c r="I795" s="548"/>
      <c r="J795" s="548"/>
      <c r="K795" s="549"/>
      <c r="L795" s="550"/>
      <c r="M795" s="550"/>
      <c r="N795" s="550"/>
      <c r="O795" s="551"/>
      <c r="P795" s="551"/>
    </row>
    <row r="796" spans="1:16" ht="21.75" customHeight="1" x14ac:dyDescent="0.25">
      <c r="A796" s="547"/>
      <c r="B796" s="547"/>
      <c r="C796" s="547"/>
      <c r="D796" s="547"/>
      <c r="E796" s="548"/>
      <c r="F796" s="548"/>
      <c r="G796" s="548"/>
      <c r="H796" s="548"/>
      <c r="I796" s="548"/>
      <c r="J796" s="548"/>
      <c r="K796" s="549"/>
      <c r="L796" s="550"/>
      <c r="M796" s="550"/>
      <c r="N796" s="550"/>
      <c r="O796" s="551"/>
      <c r="P796" s="551"/>
    </row>
    <row r="797" spans="1:16" ht="21.75" customHeight="1" x14ac:dyDescent="0.25">
      <c r="A797" s="547"/>
      <c r="B797" s="547"/>
      <c r="C797" s="547"/>
      <c r="D797" s="547"/>
      <c r="E797" s="548"/>
      <c r="F797" s="548"/>
      <c r="G797" s="548"/>
      <c r="H797" s="548"/>
      <c r="I797" s="548"/>
      <c r="J797" s="548"/>
      <c r="K797" s="549"/>
      <c r="L797" s="550"/>
      <c r="M797" s="550"/>
      <c r="N797" s="550"/>
      <c r="O797" s="551"/>
      <c r="P797" s="551"/>
    </row>
    <row r="798" spans="1:16" ht="21.75" customHeight="1" x14ac:dyDescent="0.25">
      <c r="A798" s="547"/>
      <c r="B798" s="547"/>
      <c r="C798" s="547"/>
      <c r="D798" s="547"/>
      <c r="E798" s="548"/>
      <c r="F798" s="548"/>
      <c r="G798" s="548"/>
      <c r="H798" s="548"/>
      <c r="I798" s="548"/>
      <c r="J798" s="548"/>
      <c r="K798" s="549"/>
      <c r="L798" s="550"/>
      <c r="M798" s="550"/>
      <c r="N798" s="550"/>
      <c r="O798" s="551"/>
      <c r="P798" s="551"/>
    </row>
    <row r="799" spans="1:16" ht="21.75" customHeight="1" x14ac:dyDescent="0.25">
      <c r="A799" s="547"/>
      <c r="B799" s="547"/>
      <c r="C799" s="547"/>
      <c r="D799" s="547"/>
      <c r="E799" s="548"/>
      <c r="F799" s="548"/>
      <c r="G799" s="548"/>
      <c r="H799" s="548"/>
      <c r="I799" s="548"/>
      <c r="J799" s="548"/>
      <c r="K799" s="549"/>
      <c r="L799" s="550"/>
      <c r="M799" s="550"/>
      <c r="N799" s="550"/>
      <c r="O799" s="551"/>
      <c r="P799" s="551"/>
    </row>
    <row r="800" spans="1:16" ht="21.75" customHeight="1" x14ac:dyDescent="0.25">
      <c r="A800" s="547"/>
      <c r="B800" s="547"/>
      <c r="C800" s="547"/>
      <c r="D800" s="547"/>
      <c r="E800" s="548"/>
      <c r="F800" s="548"/>
      <c r="G800" s="548"/>
      <c r="H800" s="548"/>
      <c r="I800" s="548"/>
      <c r="J800" s="548"/>
      <c r="K800" s="549"/>
      <c r="L800" s="550"/>
      <c r="M800" s="550"/>
      <c r="N800" s="550"/>
      <c r="O800" s="551"/>
      <c r="P800" s="551"/>
    </row>
    <row r="801" spans="1:16" ht="21.75" customHeight="1" x14ac:dyDescent="0.25">
      <c r="A801" s="547"/>
      <c r="B801" s="547"/>
      <c r="C801" s="547"/>
      <c r="D801" s="547"/>
      <c r="E801" s="548"/>
      <c r="F801" s="548"/>
      <c r="G801" s="548"/>
      <c r="H801" s="548"/>
      <c r="I801" s="548"/>
      <c r="J801" s="548"/>
      <c r="K801" s="549"/>
      <c r="L801" s="550"/>
      <c r="M801" s="550"/>
      <c r="N801" s="550"/>
      <c r="O801" s="551"/>
      <c r="P801" s="551"/>
    </row>
    <row r="802" spans="1:16" ht="21.75" customHeight="1" x14ac:dyDescent="0.25">
      <c r="A802" s="547"/>
      <c r="B802" s="547"/>
      <c r="C802" s="547"/>
      <c r="D802" s="547"/>
      <c r="E802" s="548"/>
      <c r="F802" s="548"/>
      <c r="G802" s="548"/>
      <c r="H802" s="548"/>
      <c r="I802" s="548"/>
      <c r="J802" s="548"/>
      <c r="K802" s="549"/>
      <c r="L802" s="550"/>
      <c r="M802" s="550"/>
      <c r="N802" s="550"/>
      <c r="O802" s="551"/>
      <c r="P802" s="551"/>
    </row>
    <row r="803" spans="1:16" ht="21.75" customHeight="1" x14ac:dyDescent="0.25">
      <c r="A803" s="547"/>
      <c r="B803" s="547"/>
      <c r="C803" s="547"/>
      <c r="D803" s="547"/>
      <c r="E803" s="548"/>
      <c r="F803" s="548"/>
      <c r="G803" s="548"/>
      <c r="H803" s="548"/>
      <c r="I803" s="548"/>
      <c r="J803" s="548"/>
      <c r="K803" s="549"/>
      <c r="L803" s="550"/>
      <c r="M803" s="550"/>
      <c r="N803" s="550"/>
      <c r="O803" s="551"/>
      <c r="P803" s="551"/>
    </row>
    <row r="804" spans="1:16" ht="21.75" customHeight="1" x14ac:dyDescent="0.25">
      <c r="A804" s="547"/>
      <c r="B804" s="547"/>
      <c r="C804" s="547"/>
      <c r="D804" s="547"/>
      <c r="E804" s="548"/>
      <c r="F804" s="548"/>
      <c r="G804" s="548"/>
      <c r="H804" s="548"/>
      <c r="I804" s="548"/>
      <c r="J804" s="548"/>
      <c r="K804" s="549"/>
      <c r="L804" s="550"/>
      <c r="M804" s="550"/>
      <c r="N804" s="550"/>
      <c r="O804" s="551"/>
      <c r="P804" s="551"/>
    </row>
    <row r="805" spans="1:16" ht="21.75" customHeight="1" x14ac:dyDescent="0.25">
      <c r="A805" s="547"/>
      <c r="B805" s="547"/>
      <c r="C805" s="547"/>
      <c r="D805" s="547"/>
      <c r="E805" s="548"/>
      <c r="F805" s="548"/>
      <c r="G805" s="548"/>
      <c r="H805" s="548"/>
      <c r="I805" s="548"/>
      <c r="J805" s="548"/>
      <c r="K805" s="549"/>
      <c r="L805" s="550"/>
      <c r="M805" s="550"/>
      <c r="N805" s="550"/>
      <c r="O805" s="551"/>
      <c r="P805" s="551"/>
    </row>
    <row r="806" spans="1:16" ht="21.75" customHeight="1" x14ac:dyDescent="0.25">
      <c r="A806" s="547"/>
      <c r="B806" s="547"/>
      <c r="C806" s="547"/>
      <c r="D806" s="547"/>
      <c r="E806" s="548"/>
      <c r="F806" s="548"/>
      <c r="G806" s="548"/>
      <c r="H806" s="548"/>
      <c r="I806" s="548"/>
      <c r="J806" s="548"/>
      <c r="K806" s="549"/>
      <c r="L806" s="550"/>
      <c r="M806" s="550"/>
      <c r="N806" s="550"/>
      <c r="O806" s="551"/>
      <c r="P806" s="551"/>
    </row>
    <row r="807" spans="1:16" ht="21.75" customHeight="1" x14ac:dyDescent="0.25">
      <c r="A807" s="547"/>
      <c r="B807" s="547"/>
      <c r="C807" s="547"/>
      <c r="D807" s="547"/>
      <c r="E807" s="548"/>
      <c r="F807" s="548"/>
      <c r="G807" s="548"/>
      <c r="H807" s="548"/>
      <c r="I807" s="548"/>
      <c r="J807" s="548"/>
      <c r="K807" s="549"/>
      <c r="L807" s="550"/>
      <c r="M807" s="550"/>
      <c r="N807" s="550"/>
      <c r="O807" s="551"/>
      <c r="P807" s="551"/>
    </row>
    <row r="808" spans="1:16" ht="21.75" customHeight="1" x14ac:dyDescent="0.25">
      <c r="A808" s="547"/>
      <c r="B808" s="547"/>
      <c r="C808" s="547"/>
      <c r="D808" s="547"/>
      <c r="E808" s="548"/>
      <c r="F808" s="548"/>
      <c r="G808" s="548"/>
      <c r="H808" s="548"/>
      <c r="I808" s="548"/>
      <c r="J808" s="548"/>
      <c r="K808" s="549"/>
      <c r="L808" s="550"/>
      <c r="M808" s="550"/>
      <c r="N808" s="550"/>
      <c r="O808" s="551"/>
      <c r="P808" s="551"/>
    </row>
    <row r="809" spans="1:16" ht="21.75" customHeight="1" x14ac:dyDescent="0.25">
      <c r="A809" s="547"/>
      <c r="B809" s="547"/>
      <c r="C809" s="547"/>
      <c r="D809" s="547"/>
      <c r="E809" s="548"/>
      <c r="F809" s="548"/>
      <c r="G809" s="548"/>
      <c r="H809" s="548"/>
      <c r="I809" s="548"/>
      <c r="J809" s="548"/>
      <c r="K809" s="549"/>
      <c r="L809" s="550"/>
      <c r="M809" s="550"/>
      <c r="N809" s="550"/>
      <c r="O809" s="551"/>
      <c r="P809" s="551"/>
    </row>
    <row r="810" spans="1:16" ht="21.75" customHeight="1" x14ac:dyDescent="0.25">
      <c r="A810" s="547"/>
      <c r="B810" s="547"/>
      <c r="C810" s="547"/>
      <c r="D810" s="547"/>
      <c r="E810" s="548"/>
      <c r="F810" s="548"/>
      <c r="G810" s="548"/>
      <c r="H810" s="548"/>
      <c r="I810" s="548"/>
      <c r="J810" s="548"/>
      <c r="K810" s="549"/>
      <c r="L810" s="550"/>
      <c r="M810" s="550"/>
      <c r="N810" s="550"/>
      <c r="O810" s="551"/>
      <c r="P810" s="551"/>
    </row>
    <row r="811" spans="1:16" ht="21.75" customHeight="1" x14ac:dyDescent="0.25">
      <c r="A811" s="547"/>
      <c r="B811" s="547"/>
      <c r="C811" s="547"/>
      <c r="D811" s="547"/>
      <c r="E811" s="548"/>
      <c r="F811" s="548"/>
      <c r="G811" s="548"/>
      <c r="H811" s="548"/>
      <c r="I811" s="548"/>
      <c r="J811" s="548"/>
      <c r="K811" s="549"/>
      <c r="L811" s="550"/>
      <c r="M811" s="550"/>
      <c r="N811" s="550"/>
      <c r="O811" s="551"/>
      <c r="P811" s="551"/>
    </row>
    <row r="812" spans="1:16" ht="21.75" customHeight="1" x14ac:dyDescent="0.25">
      <c r="A812" s="547"/>
      <c r="B812" s="547"/>
      <c r="C812" s="547"/>
      <c r="D812" s="547"/>
      <c r="E812" s="548"/>
      <c r="F812" s="548"/>
      <c r="G812" s="548"/>
      <c r="H812" s="548"/>
      <c r="I812" s="548"/>
      <c r="J812" s="548"/>
      <c r="K812" s="549"/>
      <c r="L812" s="550"/>
      <c r="M812" s="550"/>
      <c r="N812" s="550"/>
      <c r="O812" s="551"/>
      <c r="P812" s="551"/>
    </row>
    <row r="813" spans="1:16" ht="21.75" customHeight="1" x14ac:dyDescent="0.25">
      <c r="A813" s="547"/>
      <c r="B813" s="547"/>
      <c r="C813" s="547"/>
      <c r="D813" s="547"/>
      <c r="E813" s="548"/>
      <c r="F813" s="548"/>
      <c r="G813" s="548"/>
      <c r="H813" s="548"/>
      <c r="I813" s="548"/>
      <c r="J813" s="548"/>
      <c r="K813" s="549"/>
      <c r="L813" s="550"/>
      <c r="M813" s="550"/>
      <c r="N813" s="550"/>
      <c r="O813" s="551"/>
      <c r="P813" s="551"/>
    </row>
    <row r="814" spans="1:16" ht="21.75" customHeight="1" x14ac:dyDescent="0.25">
      <c r="A814" s="547"/>
      <c r="B814" s="547"/>
      <c r="C814" s="547"/>
      <c r="D814" s="547"/>
      <c r="E814" s="548"/>
      <c r="F814" s="548"/>
      <c r="G814" s="548"/>
      <c r="H814" s="548"/>
      <c r="I814" s="548"/>
      <c r="J814" s="548"/>
      <c r="K814" s="549"/>
      <c r="L814" s="550"/>
      <c r="M814" s="550"/>
      <c r="N814" s="550"/>
      <c r="O814" s="551"/>
      <c r="P814" s="551"/>
    </row>
    <row r="815" spans="1:16" ht="21.75" customHeight="1" x14ac:dyDescent="0.25">
      <c r="A815" s="547"/>
      <c r="B815" s="547"/>
      <c r="C815" s="547"/>
      <c r="D815" s="547"/>
      <c r="E815" s="548"/>
      <c r="F815" s="548"/>
      <c r="G815" s="548"/>
      <c r="H815" s="548"/>
      <c r="I815" s="548"/>
      <c r="J815" s="548"/>
      <c r="K815" s="549"/>
      <c r="L815" s="550"/>
      <c r="M815" s="550"/>
      <c r="N815" s="550"/>
      <c r="O815" s="551"/>
      <c r="P815" s="551"/>
    </row>
    <row r="816" spans="1:16" ht="21.75" customHeight="1" x14ac:dyDescent="0.25">
      <c r="A816" s="547"/>
      <c r="B816" s="547"/>
      <c r="C816" s="547"/>
      <c r="D816" s="547"/>
      <c r="E816" s="548"/>
      <c r="F816" s="548"/>
      <c r="G816" s="548"/>
      <c r="H816" s="548"/>
      <c r="I816" s="548"/>
      <c r="J816" s="548"/>
      <c r="K816" s="549"/>
      <c r="L816" s="550"/>
      <c r="M816" s="550"/>
      <c r="N816" s="550"/>
      <c r="O816" s="551"/>
      <c r="P816" s="551"/>
    </row>
    <row r="817" spans="1:16" ht="21.75" customHeight="1" x14ac:dyDescent="0.25">
      <c r="A817" s="547"/>
      <c r="B817" s="547"/>
      <c r="C817" s="547"/>
      <c r="D817" s="547"/>
      <c r="E817" s="548"/>
      <c r="F817" s="548"/>
      <c r="G817" s="548"/>
      <c r="H817" s="548"/>
      <c r="I817" s="548"/>
      <c r="J817" s="548"/>
      <c r="K817" s="549"/>
      <c r="L817" s="550"/>
      <c r="M817" s="550"/>
      <c r="N817" s="550"/>
      <c r="O817" s="551"/>
      <c r="P817" s="551"/>
    </row>
    <row r="818" spans="1:16" ht="21.75" customHeight="1" x14ac:dyDescent="0.25">
      <c r="A818" s="547"/>
      <c r="B818" s="547"/>
      <c r="C818" s="547"/>
      <c r="D818" s="547"/>
      <c r="E818" s="548"/>
      <c r="F818" s="548"/>
      <c r="G818" s="548"/>
      <c r="H818" s="548"/>
      <c r="I818" s="548"/>
      <c r="J818" s="548"/>
      <c r="K818" s="549"/>
      <c r="L818" s="550"/>
      <c r="M818" s="550"/>
      <c r="N818" s="550"/>
      <c r="O818" s="551"/>
      <c r="P818" s="551"/>
    </row>
    <row r="819" spans="1:16" ht="21.75" customHeight="1" x14ac:dyDescent="0.25">
      <c r="A819" s="547"/>
      <c r="B819" s="547"/>
      <c r="C819" s="547"/>
      <c r="D819" s="547"/>
      <c r="E819" s="548"/>
      <c r="F819" s="548"/>
      <c r="G819" s="548"/>
      <c r="H819" s="548"/>
      <c r="I819" s="548"/>
      <c r="J819" s="548"/>
      <c r="K819" s="549"/>
      <c r="L819" s="550"/>
      <c r="M819" s="550"/>
      <c r="N819" s="550"/>
      <c r="O819" s="551"/>
      <c r="P819" s="551"/>
    </row>
    <row r="820" spans="1:16" ht="21.75" customHeight="1" x14ac:dyDescent="0.25">
      <c r="A820" s="547"/>
      <c r="B820" s="547"/>
      <c r="C820" s="547"/>
      <c r="D820" s="547"/>
      <c r="E820" s="548"/>
      <c r="F820" s="548"/>
      <c r="G820" s="548"/>
      <c r="H820" s="548"/>
      <c r="I820" s="548"/>
      <c r="J820" s="548"/>
      <c r="K820" s="549"/>
      <c r="L820" s="550"/>
      <c r="M820" s="550"/>
      <c r="N820" s="550"/>
      <c r="O820" s="551"/>
      <c r="P820" s="551"/>
    </row>
    <row r="821" spans="1:16" ht="21.75" customHeight="1" x14ac:dyDescent="0.25">
      <c r="A821" s="547"/>
      <c r="B821" s="547"/>
      <c r="C821" s="547"/>
      <c r="D821" s="547"/>
      <c r="E821" s="548"/>
      <c r="F821" s="548"/>
      <c r="G821" s="548"/>
      <c r="H821" s="548"/>
      <c r="I821" s="548"/>
      <c r="J821" s="548"/>
      <c r="K821" s="549"/>
      <c r="L821" s="550"/>
      <c r="M821" s="550"/>
      <c r="N821" s="550"/>
      <c r="O821" s="551"/>
      <c r="P821" s="551"/>
    </row>
    <row r="822" spans="1:16" ht="21.75" customHeight="1" x14ac:dyDescent="0.25">
      <c r="A822" s="547"/>
      <c r="B822" s="547"/>
      <c r="C822" s="547"/>
      <c r="D822" s="547"/>
      <c r="E822" s="548"/>
      <c r="F822" s="548"/>
      <c r="G822" s="548"/>
      <c r="H822" s="548"/>
      <c r="I822" s="548"/>
      <c r="J822" s="548"/>
      <c r="K822" s="549"/>
      <c r="L822" s="550"/>
      <c r="M822" s="550"/>
      <c r="N822" s="550"/>
      <c r="O822" s="551"/>
      <c r="P822" s="551"/>
    </row>
    <row r="823" spans="1:16" ht="21.75" customHeight="1" x14ac:dyDescent="0.25">
      <c r="A823" s="547"/>
      <c r="B823" s="547"/>
      <c r="C823" s="547"/>
      <c r="D823" s="547"/>
      <c r="E823" s="548"/>
      <c r="F823" s="548"/>
      <c r="G823" s="548"/>
      <c r="H823" s="548"/>
      <c r="I823" s="548"/>
      <c r="J823" s="548"/>
      <c r="K823" s="549"/>
      <c r="L823" s="550"/>
      <c r="M823" s="550"/>
      <c r="N823" s="550"/>
      <c r="O823" s="551"/>
      <c r="P823" s="551"/>
    </row>
    <row r="824" spans="1:16" ht="21.75" customHeight="1" x14ac:dyDescent="0.25">
      <c r="A824" s="547"/>
      <c r="B824" s="547"/>
      <c r="C824" s="547"/>
      <c r="D824" s="547"/>
      <c r="E824" s="548"/>
      <c r="F824" s="548"/>
      <c r="G824" s="548"/>
      <c r="H824" s="548"/>
      <c r="I824" s="548"/>
      <c r="J824" s="548"/>
      <c r="K824" s="549"/>
      <c r="L824" s="550"/>
      <c r="M824" s="550"/>
      <c r="N824" s="550"/>
      <c r="O824" s="551"/>
      <c r="P824" s="551"/>
    </row>
    <row r="825" spans="1:16" ht="21.75" customHeight="1" x14ac:dyDescent="0.25">
      <c r="A825" s="547"/>
      <c r="B825" s="547"/>
      <c r="C825" s="547"/>
      <c r="D825" s="547"/>
      <c r="E825" s="548"/>
      <c r="F825" s="548"/>
      <c r="G825" s="548"/>
      <c r="H825" s="548"/>
      <c r="I825" s="548"/>
      <c r="J825" s="548"/>
      <c r="K825" s="549"/>
      <c r="L825" s="550"/>
      <c r="M825" s="550"/>
      <c r="N825" s="550"/>
      <c r="O825" s="551"/>
      <c r="P825" s="551"/>
    </row>
    <row r="826" spans="1:16" ht="21.75" customHeight="1" x14ac:dyDescent="0.25">
      <c r="A826" s="547"/>
      <c r="B826" s="547"/>
      <c r="C826" s="547"/>
      <c r="D826" s="547"/>
      <c r="E826" s="548"/>
      <c r="F826" s="548"/>
      <c r="G826" s="548"/>
      <c r="H826" s="548"/>
      <c r="I826" s="548"/>
      <c r="J826" s="548"/>
      <c r="K826" s="549"/>
      <c r="L826" s="550"/>
      <c r="M826" s="550"/>
      <c r="N826" s="550"/>
      <c r="O826" s="551"/>
      <c r="P826" s="551"/>
    </row>
    <row r="827" spans="1:16" ht="21.75" customHeight="1" x14ac:dyDescent="0.25">
      <c r="A827" s="547"/>
      <c r="B827" s="547"/>
      <c r="C827" s="547"/>
      <c r="D827" s="547"/>
      <c r="E827" s="548"/>
      <c r="F827" s="548"/>
      <c r="G827" s="548"/>
      <c r="H827" s="548"/>
      <c r="I827" s="548"/>
      <c r="J827" s="548"/>
      <c r="K827" s="549"/>
      <c r="L827" s="550"/>
      <c r="M827" s="550"/>
      <c r="N827" s="550"/>
      <c r="O827" s="551"/>
      <c r="P827" s="551"/>
    </row>
    <row r="828" spans="1:16" ht="21.75" customHeight="1" x14ac:dyDescent="0.25">
      <c r="A828" s="547"/>
      <c r="B828" s="547"/>
      <c r="C828" s="547"/>
      <c r="D828" s="547"/>
      <c r="E828" s="548"/>
      <c r="F828" s="548"/>
      <c r="G828" s="548"/>
      <c r="H828" s="548"/>
      <c r="I828" s="548"/>
      <c r="J828" s="548"/>
      <c r="K828" s="549"/>
      <c r="L828" s="550"/>
      <c r="M828" s="550"/>
      <c r="N828" s="550"/>
      <c r="O828" s="551"/>
      <c r="P828" s="551"/>
    </row>
    <row r="829" spans="1:16" ht="21.75" customHeight="1" x14ac:dyDescent="0.25">
      <c r="A829" s="547"/>
      <c r="B829" s="547"/>
      <c r="C829" s="547"/>
      <c r="D829" s="547"/>
      <c r="E829" s="548"/>
      <c r="F829" s="548"/>
      <c r="G829" s="548"/>
      <c r="H829" s="548"/>
      <c r="I829" s="548"/>
      <c r="J829" s="548"/>
      <c r="K829" s="549"/>
      <c r="L829" s="550"/>
      <c r="M829" s="550"/>
      <c r="N829" s="550"/>
      <c r="O829" s="551"/>
      <c r="P829" s="551"/>
    </row>
    <row r="830" spans="1:16" ht="21.75" customHeight="1" x14ac:dyDescent="0.25">
      <c r="A830" s="547"/>
      <c r="B830" s="547"/>
      <c r="C830" s="547"/>
      <c r="D830" s="547"/>
      <c r="E830" s="548"/>
      <c r="F830" s="548"/>
      <c r="G830" s="548"/>
      <c r="H830" s="548"/>
      <c r="I830" s="548"/>
      <c r="J830" s="548"/>
      <c r="K830" s="549"/>
      <c r="L830" s="550"/>
      <c r="M830" s="550"/>
      <c r="N830" s="550"/>
      <c r="O830" s="551"/>
      <c r="P830" s="551"/>
    </row>
    <row r="831" spans="1:16" ht="21.75" customHeight="1" x14ac:dyDescent="0.25">
      <c r="A831" s="547"/>
      <c r="B831" s="547"/>
      <c r="C831" s="547"/>
      <c r="D831" s="547"/>
      <c r="E831" s="548"/>
      <c r="F831" s="548"/>
      <c r="G831" s="548"/>
      <c r="H831" s="548"/>
      <c r="I831" s="548"/>
      <c r="J831" s="548"/>
      <c r="K831" s="549"/>
      <c r="L831" s="550"/>
      <c r="M831" s="550"/>
      <c r="N831" s="550"/>
      <c r="O831" s="551"/>
      <c r="P831" s="551"/>
    </row>
    <row r="832" spans="1:16" ht="21.75" customHeight="1" x14ac:dyDescent="0.25">
      <c r="A832" s="547"/>
      <c r="B832" s="547"/>
      <c r="C832" s="547"/>
      <c r="D832" s="547"/>
      <c r="E832" s="548"/>
      <c r="F832" s="548"/>
      <c r="G832" s="548"/>
      <c r="H832" s="548"/>
      <c r="I832" s="548"/>
      <c r="J832" s="548"/>
      <c r="K832" s="549"/>
      <c r="L832" s="550"/>
      <c r="M832" s="550"/>
      <c r="N832" s="550"/>
      <c r="O832" s="551"/>
      <c r="P832" s="551"/>
    </row>
    <row r="833" spans="1:16" ht="21.75" customHeight="1" x14ac:dyDescent="0.25">
      <c r="A833" s="547"/>
      <c r="B833" s="547"/>
      <c r="C833" s="547"/>
      <c r="D833" s="547"/>
      <c r="E833" s="548"/>
      <c r="F833" s="548"/>
      <c r="G833" s="548"/>
      <c r="H833" s="548"/>
      <c r="I833" s="548"/>
      <c r="J833" s="548"/>
      <c r="K833" s="549"/>
      <c r="L833" s="550"/>
      <c r="M833" s="550"/>
      <c r="N833" s="550"/>
      <c r="O833" s="551"/>
      <c r="P833" s="551"/>
    </row>
    <row r="834" spans="1:16" ht="21.75" customHeight="1" x14ac:dyDescent="0.25">
      <c r="A834" s="547"/>
      <c r="B834" s="547"/>
      <c r="C834" s="547"/>
      <c r="D834" s="547"/>
      <c r="E834" s="548"/>
      <c r="F834" s="548"/>
      <c r="G834" s="548"/>
      <c r="H834" s="548"/>
      <c r="I834" s="548"/>
      <c r="J834" s="548"/>
      <c r="K834" s="549"/>
      <c r="L834" s="550"/>
      <c r="M834" s="550"/>
      <c r="N834" s="550"/>
      <c r="O834" s="551"/>
      <c r="P834" s="551"/>
    </row>
    <row r="835" spans="1:16" ht="21.75" customHeight="1" x14ac:dyDescent="0.25">
      <c r="A835" s="547"/>
      <c r="B835" s="547"/>
      <c r="C835" s="547"/>
      <c r="D835" s="547"/>
      <c r="E835" s="548"/>
      <c r="F835" s="548"/>
      <c r="G835" s="548"/>
      <c r="H835" s="548"/>
      <c r="I835" s="548"/>
      <c r="J835" s="548"/>
      <c r="K835" s="549"/>
      <c r="L835" s="550"/>
      <c r="M835" s="550"/>
      <c r="N835" s="550"/>
      <c r="O835" s="551"/>
      <c r="P835" s="551"/>
    </row>
    <row r="836" spans="1:16" ht="21.75" customHeight="1" x14ac:dyDescent="0.25">
      <c r="A836" s="547"/>
      <c r="B836" s="547"/>
      <c r="C836" s="547"/>
      <c r="D836" s="547"/>
      <c r="E836" s="548"/>
      <c r="F836" s="548"/>
      <c r="G836" s="548"/>
      <c r="H836" s="548"/>
      <c r="I836" s="548"/>
      <c r="J836" s="548"/>
      <c r="K836" s="549"/>
      <c r="L836" s="550"/>
      <c r="M836" s="550"/>
      <c r="N836" s="550"/>
      <c r="O836" s="551"/>
      <c r="P836" s="551"/>
    </row>
    <row r="837" spans="1:16" ht="21.75" customHeight="1" x14ac:dyDescent="0.25">
      <c r="A837" s="547"/>
      <c r="B837" s="547"/>
      <c r="C837" s="547"/>
      <c r="D837" s="547"/>
      <c r="E837" s="548"/>
      <c r="F837" s="548"/>
      <c r="G837" s="548"/>
      <c r="H837" s="548"/>
      <c r="I837" s="548"/>
      <c r="J837" s="548"/>
      <c r="K837" s="549"/>
      <c r="L837" s="550"/>
      <c r="M837" s="550"/>
      <c r="N837" s="550"/>
      <c r="O837" s="551"/>
      <c r="P837" s="551"/>
    </row>
    <row r="838" spans="1:16" ht="21.75" customHeight="1" x14ac:dyDescent="0.25">
      <c r="A838" s="547"/>
      <c r="B838" s="547"/>
      <c r="C838" s="547"/>
      <c r="D838" s="547"/>
      <c r="E838" s="548"/>
      <c r="F838" s="548"/>
      <c r="G838" s="548"/>
      <c r="H838" s="548"/>
      <c r="I838" s="548"/>
      <c r="J838" s="548"/>
      <c r="K838" s="549"/>
      <c r="L838" s="550"/>
      <c r="M838" s="550"/>
      <c r="N838" s="550"/>
      <c r="O838" s="551"/>
      <c r="P838" s="551"/>
    </row>
    <row r="839" spans="1:16" ht="21.75" customHeight="1" x14ac:dyDescent="0.25">
      <c r="A839" s="547"/>
      <c r="B839" s="547"/>
      <c r="C839" s="547"/>
      <c r="D839" s="547"/>
      <c r="E839" s="548"/>
      <c r="F839" s="548"/>
      <c r="G839" s="548"/>
      <c r="H839" s="548"/>
      <c r="I839" s="548"/>
      <c r="J839" s="548"/>
      <c r="K839" s="549"/>
      <c r="L839" s="550"/>
      <c r="M839" s="550"/>
      <c r="N839" s="550"/>
      <c r="O839" s="551"/>
      <c r="P839" s="551"/>
    </row>
    <row r="840" spans="1:16" ht="21.75" customHeight="1" x14ac:dyDescent="0.25">
      <c r="A840" s="547"/>
      <c r="B840" s="547"/>
      <c r="C840" s="547"/>
      <c r="D840" s="547"/>
      <c r="E840" s="548"/>
      <c r="F840" s="548"/>
      <c r="G840" s="548"/>
      <c r="H840" s="548"/>
      <c r="I840" s="548"/>
      <c r="J840" s="548"/>
      <c r="K840" s="549"/>
      <c r="L840" s="550"/>
      <c r="M840" s="550"/>
      <c r="N840" s="550"/>
      <c r="O840" s="551"/>
      <c r="P840" s="551"/>
    </row>
    <row r="841" spans="1:16" ht="21.75" customHeight="1" x14ac:dyDescent="0.25">
      <c r="A841" s="547"/>
      <c r="B841" s="547"/>
      <c r="C841" s="547"/>
      <c r="D841" s="547"/>
      <c r="E841" s="548"/>
      <c r="F841" s="548"/>
      <c r="G841" s="548"/>
      <c r="H841" s="548"/>
      <c r="I841" s="548"/>
      <c r="J841" s="548"/>
      <c r="K841" s="549"/>
      <c r="L841" s="550"/>
      <c r="M841" s="550"/>
      <c r="N841" s="550"/>
      <c r="O841" s="551"/>
      <c r="P841" s="551"/>
    </row>
    <row r="842" spans="1:16" ht="21.75" customHeight="1" x14ac:dyDescent="0.25">
      <c r="A842" s="547"/>
      <c r="B842" s="547"/>
      <c r="C842" s="547"/>
      <c r="D842" s="547"/>
      <c r="E842" s="548"/>
      <c r="F842" s="548"/>
      <c r="G842" s="548"/>
      <c r="H842" s="548"/>
      <c r="I842" s="548"/>
      <c r="J842" s="548"/>
      <c r="K842" s="549"/>
      <c r="L842" s="550"/>
      <c r="M842" s="550"/>
      <c r="N842" s="550"/>
      <c r="O842" s="551"/>
      <c r="P842" s="551"/>
    </row>
    <row r="843" spans="1:16" ht="21.75" customHeight="1" x14ac:dyDescent="0.25">
      <c r="A843" s="547"/>
      <c r="B843" s="547"/>
      <c r="C843" s="547"/>
      <c r="D843" s="547"/>
      <c r="E843" s="548"/>
      <c r="F843" s="548"/>
      <c r="G843" s="548"/>
      <c r="H843" s="548"/>
      <c r="I843" s="548"/>
      <c r="J843" s="548"/>
      <c r="K843" s="549"/>
      <c r="L843" s="550"/>
      <c r="M843" s="550"/>
      <c r="N843" s="550"/>
      <c r="O843" s="551"/>
      <c r="P843" s="551"/>
    </row>
    <row r="844" spans="1:16" ht="21.75" customHeight="1" x14ac:dyDescent="0.25">
      <c r="A844" s="547"/>
      <c r="B844" s="547"/>
      <c r="C844" s="547"/>
      <c r="D844" s="547"/>
      <c r="E844" s="548"/>
      <c r="F844" s="548"/>
      <c r="G844" s="548"/>
      <c r="H844" s="548"/>
      <c r="I844" s="548"/>
      <c r="J844" s="548"/>
      <c r="K844" s="549"/>
      <c r="L844" s="550"/>
      <c r="M844" s="550"/>
      <c r="N844" s="550"/>
      <c r="O844" s="551"/>
      <c r="P844" s="551"/>
    </row>
    <row r="845" spans="1:16" ht="21.75" customHeight="1" x14ac:dyDescent="0.25">
      <c r="A845" s="547"/>
      <c r="B845" s="547"/>
      <c r="C845" s="547"/>
      <c r="D845" s="547"/>
      <c r="E845" s="548"/>
      <c r="F845" s="548"/>
      <c r="G845" s="548"/>
      <c r="H845" s="548"/>
      <c r="I845" s="548"/>
      <c r="J845" s="548"/>
      <c r="K845" s="549"/>
      <c r="L845" s="550"/>
      <c r="M845" s="550"/>
      <c r="N845" s="550"/>
      <c r="O845" s="551"/>
      <c r="P845" s="551"/>
    </row>
    <row r="846" spans="1:16" ht="21.75" customHeight="1" x14ac:dyDescent="0.25">
      <c r="A846" s="547"/>
      <c r="B846" s="547"/>
      <c r="C846" s="547"/>
      <c r="D846" s="547"/>
      <c r="E846" s="548"/>
      <c r="F846" s="548"/>
      <c r="G846" s="548"/>
      <c r="H846" s="548"/>
      <c r="I846" s="548"/>
      <c r="J846" s="548"/>
      <c r="K846" s="549"/>
      <c r="L846" s="550"/>
      <c r="M846" s="550"/>
      <c r="N846" s="550"/>
      <c r="O846" s="551"/>
      <c r="P846" s="551"/>
    </row>
    <row r="847" spans="1:16" ht="21.75" customHeight="1" x14ac:dyDescent="0.25">
      <c r="A847" s="547"/>
      <c r="B847" s="547"/>
      <c r="C847" s="547"/>
      <c r="D847" s="547"/>
      <c r="E847" s="548"/>
      <c r="F847" s="548"/>
      <c r="G847" s="548"/>
      <c r="H847" s="548"/>
      <c r="I847" s="548"/>
      <c r="J847" s="548"/>
      <c r="K847" s="549"/>
      <c r="L847" s="550"/>
      <c r="M847" s="550"/>
      <c r="N847" s="550"/>
      <c r="O847" s="551"/>
      <c r="P847" s="551"/>
    </row>
    <row r="848" spans="1:16" ht="21.75" customHeight="1" x14ac:dyDescent="0.25">
      <c r="A848" s="547"/>
      <c r="B848" s="547"/>
      <c r="C848" s="547"/>
      <c r="D848" s="547"/>
      <c r="E848" s="548"/>
      <c r="F848" s="548"/>
      <c r="G848" s="548"/>
      <c r="H848" s="548"/>
      <c r="I848" s="548"/>
      <c r="J848" s="548"/>
      <c r="K848" s="549"/>
      <c r="L848" s="550"/>
      <c r="M848" s="550"/>
      <c r="N848" s="550"/>
      <c r="O848" s="551"/>
      <c r="P848" s="551"/>
    </row>
    <row r="849" spans="1:16" ht="21.75" customHeight="1" x14ac:dyDescent="0.25">
      <c r="A849" s="547"/>
      <c r="B849" s="547"/>
      <c r="C849" s="547"/>
      <c r="D849" s="547"/>
      <c r="E849" s="548"/>
      <c r="F849" s="548"/>
      <c r="G849" s="548"/>
      <c r="H849" s="548"/>
      <c r="I849" s="548"/>
      <c r="J849" s="548"/>
      <c r="K849" s="549"/>
      <c r="L849" s="550"/>
      <c r="M849" s="550"/>
      <c r="N849" s="550"/>
      <c r="O849" s="551"/>
      <c r="P849" s="551"/>
    </row>
    <row r="850" spans="1:16" ht="21.75" customHeight="1" x14ac:dyDescent="0.25">
      <c r="A850" s="547"/>
      <c r="B850" s="547"/>
      <c r="C850" s="547"/>
      <c r="D850" s="547"/>
      <c r="E850" s="548"/>
      <c r="F850" s="548"/>
      <c r="G850" s="548"/>
      <c r="H850" s="548"/>
      <c r="I850" s="548"/>
      <c r="J850" s="548"/>
      <c r="K850" s="549"/>
      <c r="L850" s="550"/>
      <c r="M850" s="550"/>
      <c r="N850" s="550"/>
      <c r="O850" s="551"/>
      <c r="P850" s="551"/>
    </row>
    <row r="851" spans="1:16" ht="21.75" customHeight="1" x14ac:dyDescent="0.25">
      <c r="A851" s="547"/>
      <c r="B851" s="547"/>
      <c r="C851" s="547"/>
      <c r="D851" s="547"/>
      <c r="E851" s="548"/>
      <c r="F851" s="548"/>
      <c r="G851" s="548"/>
      <c r="H851" s="548"/>
      <c r="I851" s="548"/>
      <c r="J851" s="548"/>
      <c r="K851" s="549"/>
      <c r="L851" s="550"/>
      <c r="M851" s="550"/>
      <c r="N851" s="550"/>
      <c r="O851" s="551"/>
      <c r="P851" s="551"/>
    </row>
    <row r="852" spans="1:16" ht="21.75" customHeight="1" x14ac:dyDescent="0.25">
      <c r="A852" s="547"/>
      <c r="B852" s="547"/>
      <c r="C852" s="547"/>
      <c r="D852" s="547"/>
      <c r="E852" s="548"/>
      <c r="F852" s="548"/>
      <c r="G852" s="548"/>
      <c r="H852" s="548"/>
      <c r="I852" s="548"/>
      <c r="J852" s="548"/>
      <c r="K852" s="549"/>
      <c r="L852" s="550"/>
      <c r="M852" s="550"/>
      <c r="N852" s="550"/>
      <c r="O852" s="551"/>
      <c r="P852" s="551"/>
    </row>
    <row r="853" spans="1:16" ht="21.75" customHeight="1" x14ac:dyDescent="0.25">
      <c r="A853" s="547"/>
      <c r="B853" s="547"/>
      <c r="C853" s="547"/>
      <c r="D853" s="547"/>
      <c r="E853" s="548"/>
      <c r="F853" s="548"/>
      <c r="G853" s="548"/>
      <c r="H853" s="548"/>
      <c r="I853" s="548"/>
      <c r="J853" s="548"/>
      <c r="K853" s="549"/>
      <c r="L853" s="550"/>
      <c r="M853" s="550"/>
      <c r="N853" s="550"/>
      <c r="O853" s="551"/>
      <c r="P853" s="551"/>
    </row>
    <row r="854" spans="1:16" ht="21.75" customHeight="1" x14ac:dyDescent="0.25">
      <c r="A854" s="547"/>
      <c r="B854" s="547"/>
      <c r="C854" s="547"/>
      <c r="D854" s="547"/>
      <c r="E854" s="548"/>
      <c r="F854" s="548"/>
      <c r="G854" s="548"/>
      <c r="H854" s="548"/>
      <c r="I854" s="548"/>
      <c r="J854" s="548"/>
      <c r="K854" s="549"/>
      <c r="L854" s="550"/>
      <c r="M854" s="550"/>
      <c r="N854" s="550"/>
      <c r="O854" s="551"/>
      <c r="P854" s="551"/>
    </row>
    <row r="855" spans="1:16" ht="21.75" customHeight="1" x14ac:dyDescent="0.25">
      <c r="A855" s="547"/>
      <c r="B855" s="547"/>
      <c r="C855" s="547"/>
      <c r="D855" s="547"/>
      <c r="E855" s="548"/>
      <c r="F855" s="548"/>
      <c r="G855" s="548"/>
      <c r="H855" s="548"/>
      <c r="I855" s="548"/>
      <c r="J855" s="548"/>
      <c r="K855" s="549"/>
      <c r="L855" s="550"/>
      <c r="M855" s="550"/>
      <c r="N855" s="550"/>
      <c r="O855" s="551"/>
      <c r="P855" s="551"/>
    </row>
    <row r="856" spans="1:16" ht="21.75" customHeight="1" x14ac:dyDescent="0.25">
      <c r="A856" s="547"/>
      <c r="B856" s="547"/>
      <c r="C856" s="547"/>
      <c r="D856" s="547"/>
      <c r="E856" s="548"/>
      <c r="F856" s="548"/>
      <c r="G856" s="548"/>
      <c r="H856" s="548"/>
      <c r="I856" s="548"/>
      <c r="J856" s="548"/>
      <c r="K856" s="549"/>
      <c r="L856" s="550"/>
      <c r="M856" s="550"/>
      <c r="N856" s="550"/>
      <c r="O856" s="551"/>
      <c r="P856" s="551"/>
    </row>
    <row r="857" spans="1:16" ht="21.75" customHeight="1" x14ac:dyDescent="0.25">
      <c r="A857" s="547"/>
      <c r="B857" s="547"/>
      <c r="C857" s="547"/>
      <c r="D857" s="547"/>
      <c r="E857" s="548"/>
      <c r="F857" s="548"/>
      <c r="G857" s="548"/>
      <c r="H857" s="548"/>
      <c r="I857" s="548"/>
      <c r="J857" s="548"/>
      <c r="K857" s="549"/>
      <c r="L857" s="550"/>
      <c r="M857" s="550"/>
      <c r="N857" s="550"/>
      <c r="O857" s="551"/>
      <c r="P857" s="551"/>
    </row>
    <row r="858" spans="1:16" ht="21.75" customHeight="1" x14ac:dyDescent="0.25">
      <c r="A858" s="547"/>
      <c r="B858" s="547"/>
      <c r="C858" s="547"/>
      <c r="D858" s="547"/>
      <c r="E858" s="548"/>
      <c r="F858" s="548"/>
      <c r="G858" s="548"/>
      <c r="H858" s="548"/>
      <c r="I858" s="548"/>
      <c r="J858" s="548"/>
      <c r="K858" s="549"/>
      <c r="L858" s="550"/>
      <c r="M858" s="550"/>
      <c r="N858" s="550"/>
      <c r="O858" s="551"/>
      <c r="P858" s="551"/>
    </row>
    <row r="859" spans="1:16" ht="21.75" customHeight="1" x14ac:dyDescent="0.25">
      <c r="A859" s="547"/>
      <c r="B859" s="547"/>
      <c r="C859" s="547"/>
      <c r="D859" s="547"/>
      <c r="E859" s="548"/>
      <c r="F859" s="548"/>
      <c r="G859" s="548"/>
      <c r="H859" s="548"/>
      <c r="I859" s="548"/>
      <c r="J859" s="548"/>
      <c r="K859" s="549"/>
      <c r="L859" s="550"/>
      <c r="M859" s="550"/>
      <c r="N859" s="550"/>
      <c r="O859" s="551"/>
      <c r="P859" s="551"/>
    </row>
    <row r="860" spans="1:16" ht="21.75" customHeight="1" x14ac:dyDescent="0.25">
      <c r="A860" s="547"/>
      <c r="B860" s="547"/>
      <c r="C860" s="547"/>
      <c r="D860" s="547"/>
      <c r="E860" s="548"/>
      <c r="F860" s="548"/>
      <c r="G860" s="548"/>
      <c r="H860" s="548"/>
      <c r="I860" s="548"/>
      <c r="J860" s="548"/>
      <c r="K860" s="549"/>
      <c r="L860" s="550"/>
      <c r="M860" s="550"/>
      <c r="N860" s="550"/>
      <c r="O860" s="551"/>
      <c r="P860" s="551"/>
    </row>
    <row r="861" spans="1:16" ht="21.75" customHeight="1" x14ac:dyDescent="0.25">
      <c r="A861" s="547"/>
      <c r="B861" s="547"/>
      <c r="C861" s="547"/>
      <c r="D861" s="547"/>
      <c r="E861" s="548"/>
      <c r="F861" s="548"/>
      <c r="G861" s="548"/>
      <c r="H861" s="548"/>
      <c r="I861" s="548"/>
      <c r="J861" s="548"/>
      <c r="K861" s="549"/>
      <c r="L861" s="550"/>
      <c r="M861" s="550"/>
      <c r="N861" s="550"/>
      <c r="O861" s="551"/>
      <c r="P861" s="551"/>
    </row>
    <row r="862" spans="1:16" ht="21.75" customHeight="1" x14ac:dyDescent="0.25">
      <c r="A862" s="547"/>
      <c r="B862" s="547"/>
      <c r="C862" s="547"/>
      <c r="D862" s="547"/>
      <c r="E862" s="548"/>
      <c r="F862" s="548"/>
      <c r="G862" s="548"/>
      <c r="H862" s="548"/>
      <c r="I862" s="548"/>
      <c r="J862" s="548"/>
      <c r="K862" s="549"/>
      <c r="L862" s="550"/>
      <c r="M862" s="550"/>
      <c r="N862" s="550"/>
      <c r="O862" s="551"/>
      <c r="P862" s="551"/>
    </row>
    <row r="863" spans="1:16" ht="21.75" customHeight="1" x14ac:dyDescent="0.25">
      <c r="A863" s="547"/>
      <c r="B863" s="547"/>
      <c r="C863" s="547"/>
      <c r="D863" s="547"/>
      <c r="E863" s="548"/>
      <c r="F863" s="548"/>
      <c r="G863" s="548"/>
      <c r="H863" s="548"/>
      <c r="I863" s="548"/>
      <c r="J863" s="548"/>
      <c r="K863" s="549"/>
      <c r="L863" s="550"/>
      <c r="M863" s="550"/>
      <c r="N863" s="550"/>
      <c r="O863" s="551"/>
      <c r="P863" s="551"/>
    </row>
    <row r="864" spans="1:16" ht="21.75" customHeight="1" x14ac:dyDescent="0.25">
      <c r="A864" s="547"/>
      <c r="B864" s="547"/>
      <c r="C864" s="547"/>
      <c r="D864" s="547"/>
      <c r="E864" s="548"/>
      <c r="F864" s="548"/>
      <c r="G864" s="548"/>
      <c r="H864" s="548"/>
      <c r="I864" s="548"/>
      <c r="J864" s="548"/>
      <c r="K864" s="549"/>
      <c r="L864" s="550"/>
      <c r="M864" s="550"/>
      <c r="N864" s="550"/>
      <c r="O864" s="551"/>
      <c r="P864" s="551"/>
    </row>
    <row r="865" spans="1:16" ht="21.75" customHeight="1" x14ac:dyDescent="0.25">
      <c r="A865" s="547"/>
      <c r="B865" s="547"/>
      <c r="C865" s="547"/>
      <c r="D865" s="547"/>
      <c r="E865" s="548"/>
      <c r="F865" s="548"/>
      <c r="G865" s="548"/>
      <c r="H865" s="548"/>
      <c r="I865" s="548"/>
      <c r="J865" s="548"/>
      <c r="K865" s="549"/>
      <c r="L865" s="550"/>
      <c r="M865" s="550"/>
      <c r="N865" s="550"/>
      <c r="O865" s="551"/>
      <c r="P865" s="551"/>
    </row>
    <row r="866" spans="1:16" ht="21.75" customHeight="1" x14ac:dyDescent="0.25">
      <c r="A866" s="547"/>
      <c r="B866" s="547"/>
      <c r="C866" s="547"/>
      <c r="D866" s="547"/>
      <c r="E866" s="548"/>
      <c r="F866" s="548"/>
      <c r="G866" s="548"/>
      <c r="H866" s="548"/>
      <c r="I866" s="548"/>
      <c r="J866" s="548"/>
      <c r="K866" s="549"/>
      <c r="L866" s="550"/>
      <c r="M866" s="550"/>
      <c r="N866" s="550"/>
      <c r="O866" s="551"/>
      <c r="P866" s="551"/>
    </row>
    <row r="867" spans="1:16" ht="21.75" customHeight="1" x14ac:dyDescent="0.25">
      <c r="A867" s="547"/>
      <c r="B867" s="547"/>
      <c r="C867" s="547"/>
      <c r="D867" s="547"/>
      <c r="E867" s="548"/>
      <c r="F867" s="548"/>
      <c r="G867" s="548"/>
      <c r="H867" s="548"/>
      <c r="I867" s="548"/>
      <c r="J867" s="548"/>
      <c r="K867" s="549"/>
      <c r="L867" s="550"/>
      <c r="M867" s="550"/>
      <c r="N867" s="550"/>
      <c r="O867" s="551"/>
      <c r="P867" s="551"/>
    </row>
    <row r="868" spans="1:16" ht="21.75" customHeight="1" x14ac:dyDescent="0.25">
      <c r="A868" s="547"/>
      <c r="B868" s="547"/>
      <c r="C868" s="547"/>
      <c r="D868" s="547"/>
      <c r="E868" s="548"/>
      <c r="F868" s="548"/>
      <c r="G868" s="548"/>
      <c r="H868" s="548"/>
      <c r="I868" s="548"/>
      <c r="J868" s="548"/>
      <c r="K868" s="549"/>
      <c r="L868" s="550"/>
      <c r="M868" s="550"/>
      <c r="N868" s="550"/>
      <c r="O868" s="551"/>
      <c r="P868" s="551"/>
    </row>
    <row r="869" spans="1:16" ht="21.75" customHeight="1" x14ac:dyDescent="0.25">
      <c r="A869" s="547"/>
      <c r="B869" s="547"/>
      <c r="C869" s="547"/>
      <c r="D869" s="547"/>
      <c r="E869" s="548"/>
      <c r="F869" s="548"/>
      <c r="G869" s="548"/>
      <c r="H869" s="548"/>
      <c r="I869" s="548"/>
      <c r="J869" s="548"/>
      <c r="K869" s="549"/>
      <c r="L869" s="550"/>
      <c r="M869" s="550"/>
      <c r="N869" s="550"/>
      <c r="O869" s="551"/>
      <c r="P869" s="551"/>
    </row>
    <row r="870" spans="1:16" ht="21.75" customHeight="1" x14ac:dyDescent="0.25">
      <c r="A870" s="547"/>
      <c r="B870" s="547"/>
      <c r="C870" s="547"/>
      <c r="D870" s="547"/>
      <c r="E870" s="548"/>
      <c r="F870" s="548"/>
      <c r="G870" s="548"/>
      <c r="H870" s="548"/>
      <c r="I870" s="548"/>
      <c r="J870" s="548"/>
      <c r="K870" s="549"/>
      <c r="L870" s="550"/>
      <c r="M870" s="550"/>
      <c r="N870" s="550"/>
      <c r="O870" s="551"/>
      <c r="P870" s="551"/>
    </row>
    <row r="871" spans="1:16" ht="21.75" customHeight="1" x14ac:dyDescent="0.25">
      <c r="A871" s="547"/>
      <c r="B871" s="547"/>
      <c r="C871" s="547"/>
      <c r="D871" s="547"/>
      <c r="E871" s="548"/>
      <c r="F871" s="548"/>
      <c r="G871" s="548"/>
      <c r="H871" s="548"/>
      <c r="I871" s="548"/>
      <c r="J871" s="548"/>
      <c r="K871" s="549"/>
      <c r="L871" s="550"/>
      <c r="M871" s="550"/>
      <c r="N871" s="550"/>
      <c r="O871" s="551"/>
      <c r="P871" s="551"/>
    </row>
    <row r="872" spans="1:16" ht="21.75" customHeight="1" x14ac:dyDescent="0.25">
      <c r="A872" s="547"/>
      <c r="B872" s="547"/>
      <c r="C872" s="547"/>
      <c r="D872" s="547"/>
      <c r="E872" s="548"/>
      <c r="F872" s="548"/>
      <c r="G872" s="548"/>
      <c r="H872" s="548"/>
      <c r="I872" s="548"/>
      <c r="J872" s="548"/>
      <c r="K872" s="549"/>
      <c r="L872" s="550"/>
      <c r="M872" s="550"/>
      <c r="N872" s="550"/>
      <c r="O872" s="551"/>
      <c r="P872" s="551"/>
    </row>
    <row r="873" spans="1:16" ht="21.75" customHeight="1" x14ac:dyDescent="0.25">
      <c r="A873" s="547"/>
      <c r="B873" s="547"/>
      <c r="C873" s="547"/>
      <c r="D873" s="547"/>
      <c r="E873" s="548"/>
      <c r="F873" s="548"/>
      <c r="G873" s="548"/>
      <c r="H873" s="548"/>
      <c r="I873" s="548"/>
      <c r="J873" s="548"/>
      <c r="K873" s="549"/>
      <c r="L873" s="550"/>
      <c r="M873" s="550"/>
      <c r="N873" s="550"/>
      <c r="O873" s="551"/>
      <c r="P873" s="551"/>
    </row>
    <row r="874" spans="1:16" ht="21.75" customHeight="1" x14ac:dyDescent="0.25">
      <c r="A874" s="547"/>
      <c r="B874" s="547"/>
      <c r="C874" s="547"/>
      <c r="D874" s="547"/>
      <c r="E874" s="548"/>
      <c r="F874" s="548"/>
      <c r="G874" s="548"/>
      <c r="H874" s="548"/>
      <c r="I874" s="548"/>
      <c r="J874" s="548"/>
      <c r="K874" s="549"/>
      <c r="L874" s="550"/>
      <c r="M874" s="550"/>
      <c r="N874" s="550"/>
      <c r="O874" s="551"/>
      <c r="P874" s="551"/>
    </row>
    <row r="875" spans="1:16" ht="21.75" customHeight="1" x14ac:dyDescent="0.25">
      <c r="A875" s="547"/>
      <c r="B875" s="547"/>
      <c r="C875" s="547"/>
      <c r="D875" s="547"/>
      <c r="E875" s="548"/>
      <c r="F875" s="548"/>
      <c r="G875" s="548"/>
      <c r="H875" s="548"/>
      <c r="I875" s="548"/>
      <c r="J875" s="548"/>
      <c r="K875" s="549"/>
      <c r="L875" s="550"/>
      <c r="M875" s="550"/>
      <c r="N875" s="550"/>
      <c r="O875" s="551"/>
      <c r="P875" s="551"/>
    </row>
    <row r="876" spans="1:16" ht="21.75" customHeight="1" x14ac:dyDescent="0.25">
      <c r="A876" s="547"/>
      <c r="B876" s="547"/>
      <c r="C876" s="547"/>
      <c r="D876" s="547"/>
      <c r="E876" s="548"/>
      <c r="F876" s="548"/>
      <c r="G876" s="548"/>
      <c r="H876" s="548"/>
      <c r="I876" s="548"/>
      <c r="J876" s="548"/>
      <c r="K876" s="549"/>
      <c r="L876" s="550"/>
      <c r="M876" s="550"/>
      <c r="N876" s="550"/>
      <c r="O876" s="551"/>
      <c r="P876" s="551"/>
    </row>
    <row r="877" spans="1:16" ht="21.75" customHeight="1" x14ac:dyDescent="0.25">
      <c r="A877" s="547"/>
      <c r="B877" s="547"/>
      <c r="C877" s="547"/>
      <c r="D877" s="547"/>
      <c r="E877" s="548"/>
      <c r="F877" s="548"/>
      <c r="G877" s="548"/>
      <c r="H877" s="548"/>
      <c r="I877" s="548"/>
      <c r="J877" s="548"/>
      <c r="K877" s="549"/>
      <c r="L877" s="550"/>
      <c r="M877" s="550"/>
      <c r="N877" s="550"/>
      <c r="O877" s="551"/>
      <c r="P877" s="551"/>
    </row>
    <row r="878" spans="1:16" ht="21.75" customHeight="1" x14ac:dyDescent="0.25">
      <c r="A878" s="547"/>
      <c r="B878" s="547"/>
      <c r="C878" s="547"/>
      <c r="D878" s="547"/>
      <c r="E878" s="548"/>
      <c r="F878" s="548"/>
      <c r="G878" s="548"/>
      <c r="H878" s="548"/>
      <c r="I878" s="548"/>
      <c r="J878" s="548"/>
      <c r="K878" s="549"/>
      <c r="L878" s="550"/>
      <c r="M878" s="550"/>
      <c r="N878" s="550"/>
      <c r="O878" s="551"/>
      <c r="P878" s="551"/>
    </row>
    <row r="879" spans="1:16" ht="21.75" customHeight="1" x14ac:dyDescent="0.25">
      <c r="A879" s="547"/>
      <c r="B879" s="547"/>
      <c r="C879" s="547"/>
      <c r="D879" s="547"/>
      <c r="E879" s="548"/>
      <c r="F879" s="548"/>
      <c r="G879" s="548"/>
      <c r="H879" s="548"/>
      <c r="I879" s="548"/>
      <c r="J879" s="548"/>
      <c r="K879" s="549"/>
      <c r="L879" s="550"/>
      <c r="M879" s="550"/>
      <c r="N879" s="550"/>
      <c r="O879" s="551"/>
      <c r="P879" s="551"/>
    </row>
    <row r="880" spans="1:16" ht="21.75" customHeight="1" x14ac:dyDescent="0.25">
      <c r="A880" s="547"/>
      <c r="B880" s="547"/>
      <c r="C880" s="547"/>
      <c r="D880" s="547"/>
      <c r="E880" s="548"/>
      <c r="F880" s="548"/>
      <c r="G880" s="548"/>
      <c r="H880" s="548"/>
      <c r="I880" s="548"/>
      <c r="J880" s="548"/>
      <c r="K880" s="549"/>
      <c r="L880" s="550"/>
      <c r="M880" s="550"/>
      <c r="N880" s="550"/>
      <c r="O880" s="551"/>
      <c r="P880" s="551"/>
    </row>
    <row r="881" spans="1:16" ht="21.75" customHeight="1" x14ac:dyDescent="0.25">
      <c r="A881" s="547"/>
      <c r="B881" s="547"/>
      <c r="C881" s="547"/>
      <c r="D881" s="547"/>
      <c r="E881" s="548"/>
      <c r="F881" s="548"/>
      <c r="G881" s="548"/>
      <c r="H881" s="548"/>
      <c r="I881" s="548"/>
      <c r="J881" s="548"/>
      <c r="K881" s="549"/>
      <c r="L881" s="550"/>
      <c r="M881" s="550"/>
      <c r="N881" s="550"/>
      <c r="O881" s="551"/>
      <c r="P881" s="551"/>
    </row>
    <row r="882" spans="1:16" ht="21.75" customHeight="1" x14ac:dyDescent="0.25">
      <c r="A882" s="547"/>
      <c r="B882" s="547"/>
      <c r="C882" s="547"/>
      <c r="D882" s="547"/>
      <c r="E882" s="548"/>
      <c r="F882" s="548"/>
      <c r="G882" s="548"/>
      <c r="H882" s="548"/>
      <c r="I882" s="548"/>
      <c r="J882" s="548"/>
      <c r="K882" s="549"/>
      <c r="L882" s="550"/>
      <c r="M882" s="550"/>
      <c r="N882" s="550"/>
      <c r="O882" s="551"/>
      <c r="P882" s="551"/>
    </row>
    <row r="883" spans="1:16" ht="21.75" customHeight="1" x14ac:dyDescent="0.25">
      <c r="A883" s="547"/>
      <c r="B883" s="547"/>
      <c r="C883" s="547"/>
      <c r="D883" s="547"/>
      <c r="E883" s="548"/>
      <c r="F883" s="548"/>
      <c r="G883" s="548"/>
      <c r="H883" s="548"/>
      <c r="I883" s="548"/>
      <c r="J883" s="548"/>
      <c r="K883" s="549"/>
      <c r="L883" s="550"/>
      <c r="M883" s="550"/>
      <c r="N883" s="550"/>
      <c r="O883" s="551"/>
      <c r="P883" s="551"/>
    </row>
    <row r="884" spans="1:16" ht="21.75" customHeight="1" x14ac:dyDescent="0.25">
      <c r="A884" s="547"/>
      <c r="B884" s="547"/>
      <c r="C884" s="547"/>
      <c r="D884" s="547"/>
      <c r="E884" s="548"/>
      <c r="F884" s="548"/>
      <c r="G884" s="548"/>
      <c r="H884" s="548"/>
      <c r="I884" s="548"/>
      <c r="J884" s="548"/>
      <c r="K884" s="549"/>
      <c r="L884" s="550"/>
      <c r="M884" s="550"/>
      <c r="N884" s="550"/>
      <c r="O884" s="551"/>
      <c r="P884" s="551"/>
    </row>
    <row r="885" spans="1:16" ht="21.75" customHeight="1" x14ac:dyDescent="0.25">
      <c r="A885" s="547"/>
      <c r="B885" s="547"/>
      <c r="C885" s="547"/>
      <c r="D885" s="547"/>
      <c r="E885" s="548"/>
      <c r="F885" s="548"/>
      <c r="G885" s="548"/>
      <c r="H885" s="548"/>
      <c r="I885" s="548"/>
      <c r="J885" s="548"/>
      <c r="K885" s="549"/>
      <c r="L885" s="550"/>
      <c r="M885" s="550"/>
      <c r="N885" s="550"/>
      <c r="O885" s="551"/>
      <c r="P885" s="551"/>
    </row>
    <row r="886" spans="1:16" ht="21.75" customHeight="1" x14ac:dyDescent="0.25">
      <c r="A886" s="547"/>
      <c r="B886" s="547"/>
      <c r="C886" s="547"/>
      <c r="D886" s="547"/>
      <c r="E886" s="548"/>
      <c r="F886" s="548"/>
      <c r="G886" s="548"/>
      <c r="H886" s="548"/>
      <c r="I886" s="548"/>
      <c r="J886" s="548"/>
      <c r="K886" s="549"/>
      <c r="L886" s="550"/>
      <c r="M886" s="550"/>
      <c r="N886" s="550"/>
      <c r="O886" s="551"/>
      <c r="P886" s="551"/>
    </row>
    <row r="887" spans="1:16" ht="21.75" customHeight="1" x14ac:dyDescent="0.25">
      <c r="A887" s="547"/>
      <c r="B887" s="547"/>
      <c r="C887" s="547"/>
      <c r="D887" s="547"/>
      <c r="E887" s="548"/>
      <c r="F887" s="548"/>
      <c r="G887" s="548"/>
      <c r="H887" s="548"/>
      <c r="I887" s="548"/>
      <c r="J887" s="548"/>
      <c r="K887" s="549"/>
      <c r="L887" s="550"/>
      <c r="M887" s="550"/>
      <c r="N887" s="550"/>
      <c r="O887" s="551"/>
      <c r="P887" s="551"/>
    </row>
    <row r="888" spans="1:16" ht="21.75" customHeight="1" x14ac:dyDescent="0.25">
      <c r="A888" s="547"/>
      <c r="B888" s="547"/>
      <c r="C888" s="547"/>
      <c r="D888" s="547"/>
      <c r="E888" s="548"/>
      <c r="F888" s="548"/>
      <c r="G888" s="548"/>
      <c r="H888" s="548"/>
      <c r="I888" s="548"/>
      <c r="J888" s="548"/>
      <c r="K888" s="549"/>
      <c r="L888" s="550"/>
      <c r="M888" s="550"/>
      <c r="N888" s="550"/>
      <c r="O888" s="551"/>
      <c r="P888" s="551"/>
    </row>
    <row r="889" spans="1:16" ht="21.75" customHeight="1" x14ac:dyDescent="0.25">
      <c r="A889" s="547"/>
      <c r="B889" s="547"/>
      <c r="C889" s="547"/>
      <c r="D889" s="547"/>
      <c r="E889" s="548"/>
      <c r="F889" s="548"/>
      <c r="G889" s="548"/>
      <c r="H889" s="548"/>
      <c r="I889" s="548"/>
      <c r="J889" s="548"/>
      <c r="K889" s="549"/>
      <c r="L889" s="550"/>
      <c r="M889" s="550"/>
      <c r="N889" s="550"/>
      <c r="O889" s="551"/>
      <c r="P889" s="551"/>
    </row>
    <row r="890" spans="1:16" ht="21.75" customHeight="1" x14ac:dyDescent="0.25">
      <c r="A890" s="547"/>
      <c r="B890" s="547"/>
      <c r="C890" s="547"/>
      <c r="D890" s="547"/>
      <c r="E890" s="548"/>
      <c r="F890" s="548"/>
      <c r="G890" s="548"/>
      <c r="H890" s="548"/>
      <c r="I890" s="548"/>
      <c r="J890" s="548"/>
      <c r="K890" s="549"/>
      <c r="L890" s="550"/>
      <c r="M890" s="550"/>
      <c r="N890" s="550"/>
      <c r="O890" s="551"/>
      <c r="P890" s="551"/>
    </row>
    <row r="891" spans="1:16" ht="21.75" customHeight="1" x14ac:dyDescent="0.25">
      <c r="A891" s="547"/>
      <c r="B891" s="547"/>
      <c r="C891" s="547"/>
      <c r="D891" s="547"/>
      <c r="E891" s="548"/>
      <c r="F891" s="548"/>
      <c r="G891" s="548"/>
      <c r="H891" s="548"/>
      <c r="I891" s="548"/>
      <c r="J891" s="548"/>
      <c r="K891" s="549"/>
      <c r="L891" s="550"/>
      <c r="M891" s="550"/>
      <c r="N891" s="550"/>
      <c r="O891" s="551"/>
      <c r="P891" s="551"/>
    </row>
    <row r="892" spans="1:16" ht="21.75" customHeight="1" x14ac:dyDescent="0.25">
      <c r="A892" s="547"/>
      <c r="B892" s="547"/>
      <c r="C892" s="547"/>
      <c r="D892" s="547"/>
      <c r="E892" s="548"/>
      <c r="F892" s="548"/>
      <c r="G892" s="548"/>
      <c r="H892" s="548"/>
      <c r="I892" s="548"/>
      <c r="J892" s="548"/>
      <c r="K892" s="549"/>
      <c r="L892" s="550"/>
      <c r="M892" s="550"/>
      <c r="N892" s="550"/>
      <c r="O892" s="551"/>
      <c r="P892" s="551"/>
    </row>
    <row r="893" spans="1:16" ht="21.75" customHeight="1" x14ac:dyDescent="0.25">
      <c r="A893" s="547"/>
      <c r="B893" s="547"/>
      <c r="C893" s="547"/>
      <c r="D893" s="547"/>
      <c r="E893" s="548"/>
      <c r="F893" s="548"/>
      <c r="G893" s="548"/>
      <c r="H893" s="548"/>
      <c r="I893" s="548"/>
      <c r="J893" s="548"/>
      <c r="K893" s="549"/>
      <c r="L893" s="550"/>
      <c r="M893" s="550"/>
      <c r="N893" s="550"/>
      <c r="O893" s="551"/>
      <c r="P893" s="551"/>
    </row>
    <row r="894" spans="1:16" ht="21.75" customHeight="1" x14ac:dyDescent="0.25">
      <c r="A894" s="547"/>
      <c r="B894" s="547"/>
      <c r="C894" s="547"/>
      <c r="D894" s="547"/>
      <c r="E894" s="548"/>
      <c r="F894" s="548"/>
      <c r="G894" s="548"/>
      <c r="H894" s="548"/>
      <c r="I894" s="548"/>
      <c r="J894" s="548"/>
      <c r="K894" s="549"/>
      <c r="L894" s="550"/>
      <c r="M894" s="550"/>
      <c r="N894" s="550"/>
      <c r="O894" s="551"/>
      <c r="P894" s="551"/>
    </row>
    <row r="895" spans="1:16" ht="21.75" customHeight="1" x14ac:dyDescent="0.25">
      <c r="A895" s="547"/>
      <c r="B895" s="547"/>
      <c r="C895" s="547"/>
      <c r="D895" s="547"/>
      <c r="E895" s="548"/>
      <c r="F895" s="548"/>
      <c r="G895" s="548"/>
      <c r="H895" s="548"/>
      <c r="I895" s="548"/>
      <c r="J895" s="548"/>
      <c r="K895" s="549"/>
      <c r="L895" s="550"/>
      <c r="M895" s="550"/>
      <c r="N895" s="550"/>
      <c r="O895" s="551"/>
      <c r="P895" s="551"/>
    </row>
    <row r="896" spans="1:16" ht="21.75" customHeight="1" x14ac:dyDescent="0.25">
      <c r="A896" s="547"/>
      <c r="B896" s="547"/>
      <c r="C896" s="547"/>
      <c r="D896" s="547"/>
      <c r="E896" s="548"/>
      <c r="F896" s="548"/>
      <c r="G896" s="548"/>
      <c r="H896" s="548"/>
      <c r="I896" s="548"/>
      <c r="J896" s="548"/>
      <c r="K896" s="549"/>
      <c r="L896" s="550"/>
      <c r="M896" s="550"/>
      <c r="N896" s="550"/>
      <c r="O896" s="551"/>
      <c r="P896" s="551"/>
    </row>
    <row r="897" spans="1:16" ht="21.75" customHeight="1" x14ac:dyDescent="0.25">
      <c r="A897" s="547"/>
      <c r="B897" s="547"/>
      <c r="C897" s="547"/>
      <c r="D897" s="547"/>
      <c r="E897" s="548"/>
      <c r="F897" s="548"/>
      <c r="G897" s="548"/>
      <c r="H897" s="548"/>
      <c r="I897" s="548"/>
      <c r="J897" s="548"/>
      <c r="K897" s="549"/>
      <c r="L897" s="550"/>
      <c r="M897" s="550"/>
      <c r="N897" s="550"/>
      <c r="O897" s="551"/>
      <c r="P897" s="551"/>
    </row>
    <row r="898" spans="1:16" ht="21.75" customHeight="1" x14ac:dyDescent="0.25">
      <c r="A898" s="547"/>
      <c r="B898" s="547"/>
      <c r="C898" s="547"/>
      <c r="D898" s="547"/>
      <c r="E898" s="548"/>
      <c r="F898" s="548"/>
      <c r="G898" s="548"/>
      <c r="H898" s="548"/>
      <c r="I898" s="548"/>
      <c r="J898" s="548"/>
      <c r="K898" s="549"/>
      <c r="L898" s="550"/>
      <c r="M898" s="550"/>
      <c r="N898" s="550"/>
      <c r="O898" s="551"/>
      <c r="P898" s="551"/>
    </row>
    <row r="899" spans="1:16" ht="21.75" customHeight="1" x14ac:dyDescent="0.25">
      <c r="A899" s="547"/>
      <c r="B899" s="547"/>
      <c r="C899" s="547"/>
      <c r="D899" s="547"/>
      <c r="E899" s="548"/>
      <c r="F899" s="548"/>
      <c r="G899" s="548"/>
      <c r="H899" s="548"/>
      <c r="I899" s="548"/>
      <c r="J899" s="548"/>
      <c r="K899" s="549"/>
      <c r="L899" s="550"/>
      <c r="M899" s="550"/>
      <c r="N899" s="550"/>
      <c r="O899" s="551"/>
      <c r="P899" s="551"/>
    </row>
    <row r="900" spans="1:16" ht="21.75" customHeight="1" x14ac:dyDescent="0.25">
      <c r="A900" s="547"/>
      <c r="B900" s="547"/>
      <c r="C900" s="547"/>
      <c r="D900" s="547"/>
      <c r="E900" s="548"/>
      <c r="F900" s="548"/>
      <c r="G900" s="548"/>
      <c r="H900" s="548"/>
      <c r="I900" s="548"/>
      <c r="J900" s="548"/>
      <c r="K900" s="549"/>
      <c r="L900" s="550"/>
      <c r="M900" s="550"/>
      <c r="N900" s="550"/>
      <c r="O900" s="551"/>
      <c r="P900" s="551"/>
    </row>
    <row r="901" spans="1:16" ht="21.75" customHeight="1" x14ac:dyDescent="0.25">
      <c r="A901" s="547"/>
      <c r="B901" s="547"/>
      <c r="C901" s="547"/>
      <c r="D901" s="547"/>
      <c r="E901" s="548"/>
      <c r="F901" s="548"/>
      <c r="G901" s="548"/>
      <c r="H901" s="548"/>
      <c r="I901" s="548"/>
      <c r="J901" s="548"/>
      <c r="K901" s="549"/>
      <c r="L901" s="550"/>
      <c r="M901" s="550"/>
      <c r="N901" s="550"/>
      <c r="O901" s="551"/>
      <c r="P901" s="551"/>
    </row>
    <row r="902" spans="1:16" ht="21.75" customHeight="1" x14ac:dyDescent="0.25">
      <c r="A902" s="547"/>
      <c r="B902" s="547"/>
      <c r="C902" s="547"/>
      <c r="D902" s="547"/>
      <c r="E902" s="548"/>
      <c r="F902" s="548"/>
      <c r="G902" s="548"/>
      <c r="H902" s="548"/>
      <c r="I902" s="548"/>
      <c r="J902" s="548"/>
      <c r="K902" s="549"/>
      <c r="L902" s="550"/>
      <c r="M902" s="550"/>
      <c r="N902" s="550"/>
      <c r="O902" s="551"/>
      <c r="P902" s="551"/>
    </row>
    <row r="903" spans="1:16" ht="21.75" customHeight="1" x14ac:dyDescent="0.25">
      <c r="A903" s="547"/>
      <c r="B903" s="547"/>
      <c r="C903" s="547"/>
      <c r="D903" s="547"/>
      <c r="E903" s="548"/>
      <c r="F903" s="548"/>
      <c r="G903" s="548"/>
      <c r="H903" s="548"/>
      <c r="I903" s="548"/>
      <c r="J903" s="548"/>
      <c r="K903" s="549"/>
      <c r="L903" s="550"/>
      <c r="M903" s="550"/>
      <c r="N903" s="550"/>
      <c r="O903" s="551"/>
      <c r="P903" s="551"/>
    </row>
    <row r="904" spans="1:16" ht="21.75" customHeight="1" x14ac:dyDescent="0.25">
      <c r="A904" s="547"/>
      <c r="B904" s="547"/>
      <c r="C904" s="547"/>
      <c r="D904" s="547"/>
      <c r="E904" s="548"/>
      <c r="F904" s="548"/>
      <c r="G904" s="548"/>
      <c r="H904" s="548"/>
      <c r="I904" s="548"/>
      <c r="J904" s="548"/>
      <c r="K904" s="549"/>
      <c r="L904" s="550"/>
      <c r="M904" s="550"/>
      <c r="N904" s="550"/>
      <c r="O904" s="551"/>
      <c r="P904" s="551"/>
    </row>
    <row r="905" spans="1:16" ht="21.75" customHeight="1" x14ac:dyDescent="0.25">
      <c r="A905" s="547"/>
      <c r="B905" s="547"/>
      <c r="C905" s="547"/>
      <c r="D905" s="547"/>
      <c r="E905" s="548"/>
      <c r="F905" s="548"/>
      <c r="G905" s="548"/>
      <c r="H905" s="548"/>
      <c r="I905" s="548"/>
      <c r="J905" s="548"/>
      <c r="K905" s="549"/>
      <c r="L905" s="550"/>
      <c r="M905" s="550"/>
      <c r="N905" s="550"/>
      <c r="O905" s="551"/>
      <c r="P905" s="551"/>
    </row>
    <row r="906" spans="1:16" ht="21.75" customHeight="1" x14ac:dyDescent="0.25">
      <c r="A906" s="547"/>
      <c r="B906" s="547"/>
      <c r="C906" s="547"/>
      <c r="D906" s="547"/>
      <c r="E906" s="548"/>
      <c r="F906" s="548"/>
      <c r="G906" s="548"/>
      <c r="H906" s="548"/>
      <c r="I906" s="548"/>
      <c r="J906" s="548"/>
      <c r="K906" s="549"/>
      <c r="L906" s="550"/>
      <c r="M906" s="550"/>
      <c r="N906" s="550"/>
      <c r="O906" s="551"/>
      <c r="P906" s="551"/>
    </row>
    <row r="907" spans="1:16" ht="21.75" customHeight="1" x14ac:dyDescent="0.25">
      <c r="A907" s="547"/>
      <c r="B907" s="547"/>
      <c r="C907" s="547"/>
      <c r="D907" s="547"/>
      <c r="E907" s="548"/>
      <c r="F907" s="548"/>
      <c r="G907" s="548"/>
      <c r="H907" s="548"/>
      <c r="I907" s="548"/>
      <c r="J907" s="548"/>
      <c r="K907" s="549"/>
      <c r="L907" s="550"/>
      <c r="M907" s="550"/>
      <c r="N907" s="550"/>
      <c r="O907" s="551"/>
      <c r="P907" s="551"/>
    </row>
    <row r="908" spans="1:16" ht="21.75" customHeight="1" x14ac:dyDescent="0.25">
      <c r="A908" s="547"/>
      <c r="B908" s="547"/>
      <c r="C908" s="547"/>
      <c r="D908" s="547"/>
      <c r="E908" s="548"/>
      <c r="F908" s="548"/>
      <c r="G908" s="548"/>
      <c r="H908" s="548"/>
      <c r="I908" s="548"/>
      <c r="J908" s="548"/>
      <c r="K908" s="549"/>
      <c r="L908" s="550"/>
      <c r="M908" s="550"/>
      <c r="N908" s="550"/>
      <c r="O908" s="551"/>
      <c r="P908" s="551"/>
    </row>
    <row r="909" spans="1:16" ht="21.75" customHeight="1" x14ac:dyDescent="0.25">
      <c r="A909" s="547"/>
      <c r="B909" s="547"/>
      <c r="C909" s="547"/>
      <c r="D909" s="547"/>
      <c r="E909" s="548"/>
      <c r="F909" s="548"/>
      <c r="G909" s="548"/>
      <c r="H909" s="548"/>
      <c r="I909" s="548"/>
      <c r="J909" s="548"/>
      <c r="K909" s="549"/>
      <c r="L909" s="550"/>
      <c r="M909" s="550"/>
      <c r="N909" s="550"/>
      <c r="O909" s="551"/>
      <c r="P909" s="551"/>
    </row>
    <row r="910" spans="1:16" ht="21.75" customHeight="1" x14ac:dyDescent="0.25">
      <c r="A910" s="547"/>
      <c r="B910" s="547"/>
      <c r="C910" s="547"/>
      <c r="D910" s="547"/>
      <c r="E910" s="548"/>
      <c r="F910" s="548"/>
      <c r="G910" s="548"/>
      <c r="H910" s="548"/>
      <c r="I910" s="548"/>
      <c r="J910" s="548"/>
      <c r="K910" s="549"/>
      <c r="L910" s="550"/>
      <c r="M910" s="550"/>
      <c r="N910" s="550"/>
      <c r="O910" s="551"/>
      <c r="P910" s="551"/>
    </row>
    <row r="911" spans="1:16" ht="21.75" customHeight="1" x14ac:dyDescent="0.25">
      <c r="A911" s="547"/>
      <c r="B911" s="547"/>
      <c r="C911" s="547"/>
      <c r="D911" s="547"/>
      <c r="E911" s="548"/>
      <c r="F911" s="548"/>
      <c r="G911" s="548"/>
      <c r="H911" s="548"/>
      <c r="I911" s="548"/>
      <c r="J911" s="548"/>
      <c r="K911" s="549"/>
      <c r="L911" s="550"/>
      <c r="M911" s="550"/>
      <c r="N911" s="550"/>
      <c r="O911" s="551"/>
      <c r="P911" s="551"/>
    </row>
    <row r="912" spans="1:16" ht="21.75" customHeight="1" x14ac:dyDescent="0.25">
      <c r="A912" s="547"/>
      <c r="B912" s="547"/>
      <c r="C912" s="547"/>
      <c r="D912" s="547"/>
      <c r="E912" s="548"/>
      <c r="F912" s="548"/>
      <c r="G912" s="548"/>
      <c r="H912" s="548"/>
      <c r="I912" s="548"/>
      <c r="J912" s="548"/>
      <c r="K912" s="549"/>
      <c r="L912" s="550"/>
      <c r="M912" s="550"/>
      <c r="N912" s="550"/>
      <c r="O912" s="551"/>
      <c r="P912" s="551"/>
    </row>
    <row r="913" spans="1:16" ht="21.75" customHeight="1" x14ac:dyDescent="0.25">
      <c r="A913" s="547"/>
      <c r="B913" s="547"/>
      <c r="C913" s="547"/>
      <c r="D913" s="547"/>
      <c r="E913" s="548"/>
      <c r="F913" s="548"/>
      <c r="G913" s="548"/>
      <c r="H913" s="548"/>
      <c r="I913" s="548"/>
      <c r="J913" s="548"/>
      <c r="K913" s="549"/>
      <c r="L913" s="550"/>
      <c r="M913" s="550"/>
      <c r="N913" s="550"/>
      <c r="O913" s="551"/>
      <c r="P913" s="551"/>
    </row>
    <row r="914" spans="1:16" ht="21.75" customHeight="1" x14ac:dyDescent="0.25">
      <c r="A914" s="547"/>
      <c r="B914" s="547"/>
      <c r="C914" s="547"/>
      <c r="D914" s="547"/>
      <c r="E914" s="548"/>
      <c r="F914" s="548"/>
      <c r="G914" s="548"/>
      <c r="H914" s="548"/>
      <c r="I914" s="548"/>
      <c r="J914" s="548"/>
      <c r="K914" s="549"/>
      <c r="L914" s="550"/>
      <c r="M914" s="550"/>
      <c r="N914" s="550"/>
      <c r="O914" s="551"/>
      <c r="P914" s="551"/>
    </row>
    <row r="915" spans="1:16" ht="21.75" customHeight="1" x14ac:dyDescent="0.25">
      <c r="A915" s="547"/>
      <c r="B915" s="547"/>
      <c r="C915" s="547"/>
      <c r="D915" s="547"/>
      <c r="E915" s="548"/>
      <c r="F915" s="548"/>
      <c r="G915" s="548"/>
      <c r="H915" s="548"/>
      <c r="I915" s="548"/>
      <c r="J915" s="548"/>
      <c r="K915" s="549"/>
      <c r="L915" s="550"/>
      <c r="M915" s="550"/>
      <c r="N915" s="550"/>
      <c r="O915" s="551"/>
      <c r="P915" s="551"/>
    </row>
    <row r="916" spans="1:16" ht="21.75" customHeight="1" x14ac:dyDescent="0.25">
      <c r="A916" s="547"/>
      <c r="B916" s="547"/>
      <c r="C916" s="547"/>
      <c r="D916" s="547"/>
      <c r="E916" s="548"/>
      <c r="F916" s="548"/>
      <c r="G916" s="548"/>
      <c r="H916" s="548"/>
      <c r="I916" s="548"/>
      <c r="J916" s="548"/>
      <c r="K916" s="549"/>
      <c r="L916" s="550"/>
      <c r="M916" s="550"/>
      <c r="N916" s="550"/>
      <c r="O916" s="551"/>
      <c r="P916" s="551"/>
    </row>
    <row r="917" spans="1:16" ht="21.75" customHeight="1" x14ac:dyDescent="0.25">
      <c r="A917" s="547"/>
      <c r="B917" s="547"/>
      <c r="C917" s="547"/>
      <c r="D917" s="547"/>
      <c r="E917" s="548"/>
      <c r="F917" s="548"/>
      <c r="G917" s="548"/>
      <c r="H917" s="548"/>
      <c r="I917" s="548"/>
      <c r="J917" s="548"/>
      <c r="K917" s="549"/>
      <c r="L917" s="550"/>
      <c r="M917" s="550"/>
      <c r="N917" s="550"/>
      <c r="O917" s="551"/>
      <c r="P917" s="551"/>
    </row>
    <row r="918" spans="1:16" ht="21.75" customHeight="1" x14ac:dyDescent="0.25">
      <c r="A918" s="547"/>
      <c r="B918" s="547"/>
      <c r="C918" s="547"/>
      <c r="D918" s="547"/>
      <c r="E918" s="548"/>
      <c r="F918" s="548"/>
      <c r="G918" s="548"/>
      <c r="H918" s="548"/>
      <c r="I918" s="548"/>
      <c r="J918" s="548"/>
      <c r="K918" s="549"/>
      <c r="L918" s="550"/>
      <c r="M918" s="550"/>
      <c r="N918" s="550"/>
      <c r="O918" s="551"/>
      <c r="P918" s="551"/>
    </row>
    <row r="919" spans="1:16" ht="21.75" customHeight="1" x14ac:dyDescent="0.25">
      <c r="A919" s="547"/>
      <c r="B919" s="547"/>
      <c r="C919" s="547"/>
      <c r="D919" s="547"/>
      <c r="E919" s="548"/>
      <c r="F919" s="548"/>
      <c r="G919" s="548"/>
      <c r="H919" s="548"/>
      <c r="I919" s="548"/>
      <c r="J919" s="548"/>
      <c r="K919" s="549"/>
      <c r="L919" s="550"/>
      <c r="M919" s="550"/>
      <c r="N919" s="550"/>
      <c r="O919" s="551"/>
      <c r="P919" s="551"/>
    </row>
    <row r="920" spans="1:16" ht="21.75" customHeight="1" x14ac:dyDescent="0.25">
      <c r="A920" s="547"/>
      <c r="B920" s="547"/>
      <c r="C920" s="547"/>
      <c r="D920" s="547"/>
      <c r="E920" s="548"/>
      <c r="F920" s="548"/>
      <c r="G920" s="548"/>
      <c r="H920" s="548"/>
      <c r="I920" s="548"/>
      <c r="J920" s="548"/>
      <c r="K920" s="549"/>
      <c r="L920" s="550"/>
      <c r="M920" s="550"/>
      <c r="N920" s="550"/>
      <c r="O920" s="551"/>
      <c r="P920" s="551"/>
    </row>
    <row r="921" spans="1:16" ht="21.75" customHeight="1" x14ac:dyDescent="0.25">
      <c r="A921" s="547"/>
      <c r="B921" s="547"/>
      <c r="C921" s="547"/>
      <c r="D921" s="547"/>
      <c r="E921" s="548"/>
      <c r="F921" s="548"/>
      <c r="G921" s="548"/>
      <c r="H921" s="548"/>
      <c r="I921" s="548"/>
      <c r="J921" s="548"/>
      <c r="K921" s="549"/>
      <c r="L921" s="550"/>
      <c r="M921" s="550"/>
      <c r="N921" s="550"/>
      <c r="O921" s="551"/>
      <c r="P921" s="551"/>
    </row>
    <row r="922" spans="1:16" ht="21.75" customHeight="1" x14ac:dyDescent="0.25">
      <c r="A922" s="547"/>
      <c r="B922" s="547"/>
      <c r="C922" s="547"/>
      <c r="D922" s="547"/>
      <c r="E922" s="548"/>
      <c r="F922" s="548"/>
      <c r="G922" s="548"/>
      <c r="H922" s="548"/>
      <c r="I922" s="548"/>
      <c r="J922" s="548"/>
      <c r="K922" s="549"/>
      <c r="L922" s="550"/>
      <c r="M922" s="550"/>
      <c r="N922" s="550"/>
      <c r="O922" s="551"/>
      <c r="P922" s="551"/>
    </row>
    <row r="923" spans="1:16" ht="21.75" customHeight="1" x14ac:dyDescent="0.25">
      <c r="A923" s="547"/>
      <c r="B923" s="547"/>
      <c r="C923" s="547"/>
      <c r="D923" s="547"/>
      <c r="E923" s="548"/>
      <c r="F923" s="548"/>
      <c r="G923" s="548"/>
      <c r="H923" s="548"/>
      <c r="I923" s="548"/>
      <c r="J923" s="548"/>
      <c r="K923" s="549"/>
      <c r="L923" s="550"/>
      <c r="M923" s="550"/>
      <c r="N923" s="550"/>
      <c r="O923" s="551"/>
      <c r="P923" s="551"/>
    </row>
    <row r="924" spans="1:16" ht="21.75" customHeight="1" x14ac:dyDescent="0.25">
      <c r="A924" s="547"/>
      <c r="B924" s="547"/>
      <c r="C924" s="547"/>
      <c r="D924" s="547"/>
      <c r="E924" s="548"/>
      <c r="F924" s="548"/>
      <c r="G924" s="548"/>
      <c r="H924" s="548"/>
      <c r="I924" s="548"/>
      <c r="J924" s="548"/>
      <c r="K924" s="549"/>
      <c r="L924" s="550"/>
      <c r="M924" s="550"/>
      <c r="N924" s="550"/>
      <c r="O924" s="551"/>
      <c r="P924" s="551"/>
    </row>
    <row r="925" spans="1:16" ht="21.75" customHeight="1" x14ac:dyDescent="0.25">
      <c r="A925" s="547"/>
      <c r="B925" s="547"/>
      <c r="C925" s="547"/>
      <c r="D925" s="547"/>
      <c r="E925" s="548"/>
      <c r="F925" s="548"/>
      <c r="G925" s="548"/>
      <c r="H925" s="548"/>
      <c r="I925" s="548"/>
      <c r="J925" s="548"/>
      <c r="K925" s="549"/>
      <c r="L925" s="550"/>
      <c r="M925" s="550"/>
      <c r="N925" s="550"/>
      <c r="O925" s="551"/>
      <c r="P925" s="551"/>
    </row>
    <row r="926" spans="1:16" ht="21.75" customHeight="1" x14ac:dyDescent="0.25">
      <c r="A926" s="547"/>
      <c r="B926" s="547"/>
      <c r="C926" s="547"/>
      <c r="D926" s="547"/>
      <c r="E926" s="548"/>
      <c r="F926" s="548"/>
      <c r="G926" s="548"/>
      <c r="H926" s="548"/>
      <c r="I926" s="548"/>
      <c r="J926" s="548"/>
      <c r="K926" s="549"/>
      <c r="L926" s="550"/>
      <c r="M926" s="550"/>
      <c r="N926" s="550"/>
      <c r="O926" s="551"/>
      <c r="P926" s="551"/>
    </row>
    <row r="927" spans="1:16" ht="21.75" customHeight="1" x14ac:dyDescent="0.25">
      <c r="A927" s="547"/>
      <c r="B927" s="547"/>
      <c r="C927" s="547"/>
      <c r="D927" s="547"/>
      <c r="E927" s="548"/>
      <c r="F927" s="548"/>
      <c r="G927" s="548"/>
      <c r="H927" s="548"/>
      <c r="I927" s="548"/>
      <c r="J927" s="548"/>
      <c r="K927" s="549"/>
      <c r="L927" s="550"/>
      <c r="M927" s="550"/>
      <c r="N927" s="550"/>
      <c r="O927" s="551"/>
      <c r="P927" s="551"/>
    </row>
    <row r="928" spans="1:16" ht="21.75" customHeight="1" x14ac:dyDescent="0.25">
      <c r="A928" s="547"/>
      <c r="B928" s="547"/>
      <c r="C928" s="547"/>
      <c r="D928" s="547"/>
      <c r="E928" s="548"/>
      <c r="F928" s="548"/>
      <c r="G928" s="548"/>
      <c r="H928" s="548"/>
      <c r="I928" s="548"/>
      <c r="J928" s="548"/>
      <c r="K928" s="549"/>
      <c r="L928" s="550"/>
      <c r="M928" s="550"/>
      <c r="N928" s="550"/>
      <c r="O928" s="551"/>
      <c r="P928" s="551"/>
    </row>
    <row r="929" spans="1:16" ht="21.75" customHeight="1" x14ac:dyDescent="0.25">
      <c r="A929" s="547"/>
      <c r="B929" s="547"/>
      <c r="C929" s="547"/>
      <c r="D929" s="547"/>
      <c r="E929" s="548"/>
      <c r="F929" s="548"/>
      <c r="G929" s="548"/>
      <c r="H929" s="548"/>
      <c r="I929" s="548"/>
      <c r="J929" s="548"/>
      <c r="K929" s="549"/>
      <c r="L929" s="550"/>
      <c r="M929" s="550"/>
      <c r="N929" s="550"/>
      <c r="O929" s="551"/>
      <c r="P929" s="551"/>
    </row>
    <row r="930" spans="1:16" ht="21.75" customHeight="1" x14ac:dyDescent="0.25">
      <c r="A930" s="547"/>
      <c r="B930" s="547"/>
      <c r="C930" s="547"/>
      <c r="D930" s="547"/>
      <c r="E930" s="548"/>
      <c r="F930" s="548"/>
      <c r="G930" s="548"/>
      <c r="H930" s="548"/>
      <c r="I930" s="548"/>
      <c r="J930" s="548"/>
      <c r="K930" s="549"/>
      <c r="L930" s="550"/>
      <c r="M930" s="550"/>
      <c r="N930" s="550"/>
      <c r="O930" s="551"/>
      <c r="P930" s="551"/>
    </row>
    <row r="931" spans="1:16" ht="21.75" customHeight="1" x14ac:dyDescent="0.25">
      <c r="A931" s="547"/>
      <c r="B931" s="547"/>
      <c r="C931" s="547"/>
      <c r="D931" s="547"/>
      <c r="E931" s="548"/>
      <c r="F931" s="548"/>
      <c r="G931" s="548"/>
      <c r="H931" s="548"/>
      <c r="I931" s="548"/>
      <c r="J931" s="548"/>
      <c r="K931" s="549"/>
      <c r="L931" s="550"/>
      <c r="M931" s="550"/>
      <c r="N931" s="550"/>
      <c r="O931" s="551"/>
      <c r="P931" s="551"/>
    </row>
    <row r="932" spans="1:16" ht="21.75" customHeight="1" x14ac:dyDescent="0.25">
      <c r="A932" s="547"/>
      <c r="B932" s="547"/>
      <c r="C932" s="547"/>
      <c r="D932" s="547"/>
      <c r="E932" s="548"/>
      <c r="F932" s="548"/>
      <c r="G932" s="548"/>
      <c r="H932" s="548"/>
      <c r="I932" s="548"/>
      <c r="J932" s="548"/>
      <c r="K932" s="549"/>
      <c r="L932" s="550"/>
      <c r="M932" s="550"/>
      <c r="N932" s="550"/>
      <c r="O932" s="551"/>
      <c r="P932" s="551"/>
    </row>
    <row r="933" spans="1:16" ht="21.75" customHeight="1" x14ac:dyDescent="0.25">
      <c r="A933" s="547"/>
      <c r="B933" s="547"/>
      <c r="C933" s="547"/>
      <c r="D933" s="547"/>
      <c r="E933" s="548"/>
      <c r="F933" s="548"/>
      <c r="G933" s="548"/>
      <c r="H933" s="548"/>
      <c r="I933" s="548"/>
      <c r="J933" s="548"/>
      <c r="K933" s="549"/>
      <c r="L933" s="550"/>
      <c r="M933" s="550"/>
      <c r="N933" s="550"/>
      <c r="O933" s="551"/>
      <c r="P933" s="551"/>
    </row>
    <row r="934" spans="1:16" ht="21.75" customHeight="1" x14ac:dyDescent="0.25">
      <c r="A934" s="547"/>
      <c r="B934" s="547"/>
      <c r="C934" s="547"/>
      <c r="D934" s="547"/>
      <c r="E934" s="548"/>
      <c r="F934" s="548"/>
      <c r="G934" s="548"/>
      <c r="H934" s="548"/>
      <c r="I934" s="548"/>
      <c r="J934" s="548"/>
      <c r="K934" s="549"/>
      <c r="L934" s="550"/>
      <c r="M934" s="550"/>
      <c r="N934" s="550"/>
      <c r="O934" s="551"/>
      <c r="P934" s="551"/>
    </row>
    <row r="935" spans="1:16" ht="21.75" customHeight="1" x14ac:dyDescent="0.25">
      <c r="A935" s="547"/>
      <c r="B935" s="547"/>
      <c r="C935" s="547"/>
      <c r="D935" s="547"/>
      <c r="E935" s="548"/>
      <c r="F935" s="548"/>
      <c r="G935" s="548"/>
      <c r="H935" s="548"/>
      <c r="I935" s="548"/>
      <c r="J935" s="548"/>
      <c r="K935" s="549"/>
      <c r="L935" s="550"/>
      <c r="M935" s="550"/>
      <c r="N935" s="550"/>
      <c r="O935" s="551"/>
      <c r="P935" s="551"/>
    </row>
    <row r="936" spans="1:16" ht="21.75" customHeight="1" x14ac:dyDescent="0.25">
      <c r="A936" s="547"/>
      <c r="B936" s="547"/>
      <c r="C936" s="547"/>
      <c r="D936" s="547"/>
      <c r="E936" s="548"/>
      <c r="F936" s="548"/>
      <c r="G936" s="548"/>
      <c r="H936" s="548"/>
      <c r="I936" s="548"/>
      <c r="J936" s="548"/>
      <c r="K936" s="549"/>
      <c r="L936" s="550"/>
      <c r="M936" s="550"/>
      <c r="N936" s="550"/>
      <c r="O936" s="551"/>
      <c r="P936" s="551"/>
    </row>
    <row r="937" spans="1:16" ht="21.75" customHeight="1" x14ac:dyDescent="0.25">
      <c r="A937" s="547"/>
      <c r="B937" s="547"/>
      <c r="C937" s="547"/>
      <c r="D937" s="547"/>
      <c r="E937" s="548"/>
      <c r="F937" s="548"/>
      <c r="G937" s="548"/>
      <c r="H937" s="548"/>
      <c r="I937" s="548"/>
      <c r="J937" s="548"/>
      <c r="K937" s="549"/>
      <c r="L937" s="550"/>
      <c r="M937" s="550"/>
      <c r="N937" s="550"/>
      <c r="O937" s="551"/>
      <c r="P937" s="551"/>
    </row>
    <row r="938" spans="1:16" ht="21.75" customHeight="1" x14ac:dyDescent="0.25">
      <c r="A938" s="547"/>
      <c r="B938" s="547"/>
      <c r="C938" s="547"/>
      <c r="D938" s="547"/>
      <c r="E938" s="548"/>
      <c r="F938" s="548"/>
      <c r="G938" s="548"/>
      <c r="H938" s="548"/>
      <c r="I938" s="548"/>
      <c r="J938" s="548"/>
      <c r="K938" s="549"/>
      <c r="L938" s="550"/>
      <c r="M938" s="550"/>
      <c r="N938" s="550"/>
      <c r="O938" s="551"/>
      <c r="P938" s="551"/>
    </row>
    <row r="939" spans="1:16" ht="21.75" customHeight="1" x14ac:dyDescent="0.25">
      <c r="A939" s="547"/>
      <c r="B939" s="547"/>
      <c r="C939" s="547"/>
      <c r="D939" s="547"/>
      <c r="E939" s="548"/>
      <c r="F939" s="548"/>
      <c r="G939" s="548"/>
      <c r="H939" s="548"/>
      <c r="I939" s="548"/>
      <c r="J939" s="548"/>
      <c r="K939" s="549"/>
      <c r="L939" s="550"/>
      <c r="M939" s="550"/>
      <c r="N939" s="550"/>
      <c r="O939" s="551"/>
      <c r="P939" s="551"/>
    </row>
    <row r="940" spans="1:16" ht="21.75" customHeight="1" x14ac:dyDescent="0.25">
      <c r="A940" s="547"/>
      <c r="B940" s="547"/>
      <c r="C940" s="547"/>
      <c r="D940" s="547"/>
      <c r="E940" s="548"/>
      <c r="F940" s="548"/>
      <c r="G940" s="548"/>
      <c r="H940" s="548"/>
      <c r="I940" s="548"/>
      <c r="J940" s="548"/>
      <c r="K940" s="549"/>
      <c r="L940" s="550"/>
      <c r="M940" s="550"/>
      <c r="N940" s="550"/>
      <c r="O940" s="551"/>
      <c r="P940" s="551"/>
    </row>
    <row r="941" spans="1:16" ht="21.75" customHeight="1" x14ac:dyDescent="0.25">
      <c r="A941" s="547"/>
      <c r="B941" s="547"/>
      <c r="C941" s="547"/>
      <c r="D941" s="547"/>
      <c r="E941" s="548"/>
      <c r="F941" s="548"/>
      <c r="G941" s="548"/>
      <c r="H941" s="548"/>
      <c r="I941" s="548"/>
      <c r="J941" s="548"/>
      <c r="K941" s="549"/>
      <c r="L941" s="550"/>
      <c r="M941" s="550"/>
      <c r="N941" s="550"/>
      <c r="O941" s="551"/>
      <c r="P941" s="551"/>
    </row>
    <row r="942" spans="1:16" ht="21.75" customHeight="1" x14ac:dyDescent="0.25">
      <c r="A942" s="547"/>
      <c r="B942" s="547"/>
      <c r="C942" s="547"/>
      <c r="D942" s="547"/>
      <c r="E942" s="548"/>
      <c r="F942" s="548"/>
      <c r="G942" s="548"/>
      <c r="H942" s="548"/>
      <c r="I942" s="548"/>
      <c r="J942" s="548"/>
      <c r="K942" s="549"/>
      <c r="L942" s="550"/>
      <c r="M942" s="550"/>
      <c r="N942" s="550"/>
      <c r="O942" s="551"/>
      <c r="P942" s="551"/>
    </row>
    <row r="943" spans="1:16" ht="21.75" customHeight="1" x14ac:dyDescent="0.25">
      <c r="A943" s="547"/>
      <c r="B943" s="547"/>
      <c r="C943" s="547"/>
      <c r="D943" s="547"/>
      <c r="E943" s="548"/>
      <c r="F943" s="548"/>
      <c r="G943" s="548"/>
      <c r="H943" s="548"/>
      <c r="I943" s="548"/>
      <c r="J943" s="548"/>
      <c r="K943" s="549"/>
      <c r="L943" s="550"/>
      <c r="M943" s="550"/>
      <c r="N943" s="550"/>
      <c r="O943" s="551"/>
      <c r="P943" s="551"/>
    </row>
    <row r="944" spans="1:16" ht="21.75" customHeight="1" x14ac:dyDescent="0.25">
      <c r="A944" s="547"/>
      <c r="B944" s="547"/>
      <c r="C944" s="547"/>
      <c r="D944" s="547"/>
      <c r="E944" s="548"/>
      <c r="F944" s="548"/>
      <c r="G944" s="548"/>
      <c r="H944" s="548"/>
      <c r="I944" s="548"/>
      <c r="J944" s="548"/>
      <c r="K944" s="549"/>
      <c r="L944" s="550"/>
      <c r="M944" s="550"/>
      <c r="N944" s="550"/>
      <c r="O944" s="551"/>
      <c r="P944" s="551"/>
    </row>
    <row r="945" spans="1:16" ht="21.75" customHeight="1" x14ac:dyDescent="0.25">
      <c r="A945" s="547"/>
      <c r="B945" s="547"/>
      <c r="C945" s="547"/>
      <c r="D945" s="547"/>
      <c r="E945" s="548"/>
      <c r="F945" s="548"/>
      <c r="G945" s="548"/>
      <c r="H945" s="548"/>
      <c r="I945" s="548"/>
      <c r="J945" s="548"/>
      <c r="K945" s="549"/>
      <c r="L945" s="550"/>
      <c r="M945" s="550"/>
      <c r="N945" s="550"/>
      <c r="O945" s="551"/>
      <c r="P945" s="551"/>
    </row>
    <row r="946" spans="1:16" ht="21.75" customHeight="1" x14ac:dyDescent="0.25">
      <c r="A946" s="547"/>
      <c r="B946" s="547"/>
      <c r="C946" s="547"/>
      <c r="D946" s="547"/>
      <c r="E946" s="548"/>
      <c r="F946" s="548"/>
      <c r="G946" s="548"/>
      <c r="H946" s="548"/>
      <c r="I946" s="548"/>
      <c r="J946" s="548"/>
      <c r="K946" s="549"/>
      <c r="L946" s="550"/>
      <c r="M946" s="550"/>
      <c r="N946" s="550"/>
      <c r="O946" s="551"/>
      <c r="P946" s="551"/>
    </row>
    <row r="947" spans="1:16" ht="21.75" customHeight="1" x14ac:dyDescent="0.25">
      <c r="A947" s="547"/>
      <c r="B947" s="547"/>
      <c r="C947" s="547"/>
      <c r="D947" s="547"/>
      <c r="E947" s="548"/>
      <c r="F947" s="548"/>
      <c r="G947" s="548"/>
      <c r="H947" s="548"/>
      <c r="I947" s="548"/>
      <c r="J947" s="548"/>
      <c r="K947" s="549"/>
      <c r="L947" s="550"/>
      <c r="M947" s="550"/>
      <c r="N947" s="550"/>
      <c r="O947" s="551"/>
      <c r="P947" s="551"/>
    </row>
    <row r="948" spans="1:16" ht="21.75" customHeight="1" x14ac:dyDescent="0.25">
      <c r="A948" s="547"/>
      <c r="B948" s="547"/>
      <c r="C948" s="547"/>
      <c r="D948" s="547"/>
      <c r="E948" s="548"/>
      <c r="F948" s="548"/>
      <c r="G948" s="548"/>
      <c r="H948" s="548"/>
      <c r="I948" s="548"/>
      <c r="J948" s="548"/>
      <c r="K948" s="549"/>
      <c r="L948" s="550"/>
      <c r="M948" s="550"/>
      <c r="N948" s="550"/>
      <c r="O948" s="551"/>
      <c r="P948" s="551"/>
    </row>
    <row r="949" spans="1:16" ht="21.75" customHeight="1" x14ac:dyDescent="0.25">
      <c r="A949" s="547"/>
      <c r="B949" s="547"/>
      <c r="C949" s="547"/>
      <c r="D949" s="547"/>
      <c r="E949" s="548"/>
      <c r="F949" s="548"/>
      <c r="G949" s="548"/>
      <c r="H949" s="548"/>
      <c r="I949" s="548"/>
      <c r="J949" s="548"/>
      <c r="K949" s="549"/>
      <c r="L949" s="550"/>
      <c r="M949" s="550"/>
      <c r="N949" s="550"/>
      <c r="O949" s="551"/>
      <c r="P949" s="551"/>
    </row>
    <row r="950" spans="1:16" ht="21.75" customHeight="1" x14ac:dyDescent="0.25">
      <c r="A950" s="547"/>
      <c r="B950" s="547"/>
      <c r="C950" s="547"/>
      <c r="D950" s="547"/>
      <c r="E950" s="548"/>
      <c r="F950" s="548"/>
      <c r="G950" s="548"/>
      <c r="H950" s="548"/>
      <c r="I950" s="548"/>
      <c r="J950" s="548"/>
      <c r="K950" s="549"/>
      <c r="L950" s="550"/>
      <c r="M950" s="550"/>
      <c r="N950" s="550"/>
      <c r="O950" s="551"/>
      <c r="P950" s="551"/>
    </row>
    <row r="951" spans="1:16" ht="21.75" customHeight="1" x14ac:dyDescent="0.25">
      <c r="A951" s="547"/>
      <c r="B951" s="547"/>
      <c r="C951" s="547"/>
      <c r="D951" s="547"/>
      <c r="E951" s="548"/>
      <c r="F951" s="548"/>
      <c r="G951" s="548"/>
      <c r="H951" s="548"/>
      <c r="I951" s="548"/>
      <c r="J951" s="548"/>
      <c r="K951" s="549"/>
      <c r="L951" s="550"/>
      <c r="M951" s="550"/>
      <c r="N951" s="550"/>
      <c r="O951" s="551"/>
      <c r="P951" s="551"/>
    </row>
    <row r="952" spans="1:16" ht="21.75" customHeight="1" x14ac:dyDescent="0.25">
      <c r="A952" s="547"/>
      <c r="B952" s="547"/>
      <c r="C952" s="547"/>
      <c r="D952" s="547"/>
      <c r="E952" s="548"/>
      <c r="F952" s="548"/>
      <c r="G952" s="548"/>
      <c r="H952" s="548"/>
      <c r="I952" s="548"/>
      <c r="J952" s="548"/>
      <c r="K952" s="549"/>
      <c r="L952" s="550"/>
      <c r="M952" s="550"/>
      <c r="N952" s="550"/>
      <c r="O952" s="551"/>
      <c r="P952" s="551"/>
    </row>
    <row r="953" spans="1:16" ht="21.75" customHeight="1" x14ac:dyDescent="0.25">
      <c r="A953" s="547"/>
      <c r="B953" s="547"/>
      <c r="C953" s="547"/>
      <c r="D953" s="547"/>
      <c r="E953" s="548"/>
      <c r="F953" s="548"/>
      <c r="G953" s="548"/>
      <c r="H953" s="548"/>
      <c r="I953" s="548"/>
      <c r="J953" s="548"/>
      <c r="K953" s="549"/>
      <c r="L953" s="550"/>
      <c r="M953" s="550"/>
      <c r="N953" s="550"/>
      <c r="O953" s="551"/>
      <c r="P953" s="551"/>
    </row>
    <row r="954" spans="1:16" ht="21.75" customHeight="1" x14ac:dyDescent="0.25">
      <c r="A954" s="547"/>
      <c r="B954" s="547"/>
      <c r="C954" s="547"/>
      <c r="D954" s="547"/>
      <c r="E954" s="548"/>
      <c r="F954" s="548"/>
      <c r="G954" s="548"/>
      <c r="H954" s="548"/>
      <c r="I954" s="548"/>
      <c r="J954" s="548"/>
      <c r="K954" s="549"/>
      <c r="L954" s="550"/>
      <c r="M954" s="550"/>
      <c r="N954" s="550"/>
      <c r="O954" s="551"/>
      <c r="P954" s="551"/>
    </row>
    <row r="955" spans="1:16" ht="21.75" customHeight="1" x14ac:dyDescent="0.25">
      <c r="A955" s="547"/>
      <c r="B955" s="547"/>
      <c r="C955" s="547"/>
      <c r="D955" s="547"/>
      <c r="E955" s="548"/>
      <c r="F955" s="548"/>
      <c r="G955" s="548"/>
      <c r="H955" s="548"/>
      <c r="I955" s="548"/>
      <c r="J955" s="548"/>
      <c r="K955" s="549"/>
      <c r="L955" s="550"/>
      <c r="M955" s="550"/>
      <c r="N955" s="550"/>
      <c r="O955" s="551"/>
      <c r="P955" s="551"/>
    </row>
    <row r="956" spans="1:16" ht="21.75" customHeight="1" x14ac:dyDescent="0.25">
      <c r="A956" s="547"/>
      <c r="B956" s="547"/>
      <c r="C956" s="547"/>
      <c r="D956" s="547"/>
      <c r="E956" s="548"/>
      <c r="F956" s="548"/>
      <c r="G956" s="548"/>
      <c r="H956" s="548"/>
      <c r="I956" s="548"/>
      <c r="J956" s="548"/>
      <c r="K956" s="549"/>
      <c r="L956" s="550"/>
      <c r="M956" s="550"/>
      <c r="N956" s="550"/>
      <c r="O956" s="551"/>
      <c r="P956" s="551"/>
    </row>
    <row r="957" spans="1:16" ht="21.75" customHeight="1" x14ac:dyDescent="0.25">
      <c r="A957" s="547"/>
      <c r="B957" s="547"/>
      <c r="C957" s="547"/>
      <c r="D957" s="547"/>
      <c r="E957" s="548"/>
      <c r="F957" s="548"/>
      <c r="G957" s="548"/>
      <c r="H957" s="548"/>
      <c r="I957" s="548"/>
      <c r="J957" s="548"/>
      <c r="K957" s="549"/>
      <c r="L957" s="550"/>
      <c r="M957" s="550"/>
      <c r="N957" s="550"/>
      <c r="O957" s="551"/>
      <c r="P957" s="551"/>
    </row>
    <row r="958" spans="1:16" ht="21.75" customHeight="1" x14ac:dyDescent="0.25">
      <c r="A958" s="547"/>
      <c r="B958" s="547"/>
      <c r="C958" s="547"/>
      <c r="D958" s="547"/>
      <c r="E958" s="548"/>
      <c r="F958" s="548"/>
      <c r="G958" s="548"/>
      <c r="H958" s="548"/>
      <c r="I958" s="548"/>
      <c r="J958" s="548"/>
      <c r="K958" s="549"/>
      <c r="L958" s="550"/>
      <c r="M958" s="550"/>
      <c r="N958" s="550"/>
      <c r="O958" s="551"/>
      <c r="P958" s="551"/>
    </row>
    <row r="959" spans="1:16" ht="21.75" customHeight="1" x14ac:dyDescent="0.25">
      <c r="A959" s="547"/>
      <c r="B959" s="547"/>
      <c r="C959" s="547"/>
      <c r="D959" s="547"/>
      <c r="E959" s="548"/>
      <c r="F959" s="548"/>
      <c r="G959" s="548"/>
      <c r="H959" s="548"/>
      <c r="I959" s="548"/>
      <c r="J959" s="548"/>
      <c r="K959" s="549"/>
      <c r="L959" s="550"/>
      <c r="M959" s="550"/>
      <c r="N959" s="550"/>
      <c r="O959" s="551"/>
      <c r="P959" s="551"/>
    </row>
    <row r="960" spans="1:16" ht="21.75" customHeight="1" x14ac:dyDescent="0.25">
      <c r="A960" s="547"/>
      <c r="B960" s="547"/>
      <c r="C960" s="547"/>
      <c r="D960" s="547"/>
      <c r="E960" s="548"/>
      <c r="F960" s="548"/>
      <c r="G960" s="548"/>
      <c r="H960" s="548"/>
      <c r="I960" s="548"/>
      <c r="J960" s="548"/>
      <c r="K960" s="549"/>
      <c r="L960" s="550"/>
      <c r="M960" s="550"/>
      <c r="N960" s="550"/>
      <c r="O960" s="551"/>
      <c r="P960" s="551"/>
    </row>
    <row r="961" spans="1:16" ht="21.75" customHeight="1" x14ac:dyDescent="0.25">
      <c r="A961" s="547"/>
      <c r="B961" s="547"/>
      <c r="C961" s="547"/>
      <c r="D961" s="547"/>
      <c r="E961" s="548"/>
      <c r="F961" s="548"/>
      <c r="G961" s="548"/>
      <c r="H961" s="548"/>
      <c r="I961" s="548"/>
      <c r="J961" s="548"/>
      <c r="K961" s="549"/>
      <c r="L961" s="550"/>
      <c r="M961" s="550"/>
      <c r="N961" s="550"/>
      <c r="O961" s="551"/>
      <c r="P961" s="551"/>
    </row>
    <row r="962" spans="1:16" ht="21.75" customHeight="1" x14ac:dyDescent="0.25">
      <c r="A962" s="547"/>
      <c r="B962" s="547"/>
      <c r="C962" s="547"/>
      <c r="D962" s="547"/>
      <c r="E962" s="548"/>
      <c r="F962" s="548"/>
      <c r="G962" s="548"/>
      <c r="H962" s="548"/>
      <c r="I962" s="548"/>
      <c r="J962" s="548"/>
      <c r="K962" s="549"/>
      <c r="L962" s="550"/>
      <c r="M962" s="550"/>
      <c r="N962" s="550"/>
      <c r="O962" s="551"/>
      <c r="P962" s="551"/>
    </row>
    <row r="963" spans="1:16" ht="21.75" customHeight="1" x14ac:dyDescent="0.25">
      <c r="A963" s="547"/>
      <c r="B963" s="547"/>
      <c r="C963" s="547"/>
      <c r="D963" s="547"/>
      <c r="E963" s="548"/>
      <c r="F963" s="548"/>
      <c r="G963" s="548"/>
      <c r="H963" s="548"/>
      <c r="I963" s="548"/>
      <c r="J963" s="548"/>
      <c r="K963" s="549"/>
      <c r="L963" s="550"/>
      <c r="M963" s="550"/>
      <c r="N963" s="550"/>
      <c r="O963" s="551"/>
      <c r="P963" s="551"/>
    </row>
    <row r="964" spans="1:16" ht="21.75" customHeight="1" x14ac:dyDescent="0.25">
      <c r="A964" s="547"/>
      <c r="B964" s="547"/>
      <c r="C964" s="547"/>
      <c r="D964" s="547"/>
      <c r="E964" s="548"/>
      <c r="F964" s="548"/>
      <c r="G964" s="548"/>
      <c r="H964" s="548"/>
      <c r="I964" s="548"/>
      <c r="J964" s="548"/>
      <c r="K964" s="549"/>
      <c r="L964" s="550"/>
      <c r="M964" s="550"/>
      <c r="N964" s="550"/>
      <c r="O964" s="551"/>
      <c r="P964" s="551"/>
    </row>
    <row r="965" spans="1:16" ht="21.75" customHeight="1" x14ac:dyDescent="0.25">
      <c r="A965" s="547"/>
      <c r="B965" s="547"/>
      <c r="C965" s="547"/>
      <c r="D965" s="547"/>
      <c r="E965" s="548"/>
      <c r="F965" s="548"/>
      <c r="G965" s="548"/>
      <c r="H965" s="548"/>
      <c r="I965" s="548"/>
      <c r="J965" s="548"/>
      <c r="K965" s="549"/>
      <c r="L965" s="550"/>
      <c r="M965" s="550"/>
      <c r="N965" s="550"/>
      <c r="O965" s="551"/>
      <c r="P965" s="551"/>
    </row>
    <row r="966" spans="1:16" ht="21.75" customHeight="1" x14ac:dyDescent="0.25">
      <c r="A966" s="547"/>
      <c r="B966" s="547"/>
      <c r="C966" s="547"/>
      <c r="D966" s="547"/>
      <c r="E966" s="548"/>
      <c r="F966" s="548"/>
      <c r="G966" s="548"/>
      <c r="H966" s="548"/>
      <c r="I966" s="548"/>
      <c r="J966" s="548"/>
      <c r="K966" s="549"/>
      <c r="L966" s="550"/>
      <c r="M966" s="550"/>
      <c r="N966" s="550"/>
      <c r="O966" s="551"/>
      <c r="P966" s="551"/>
    </row>
    <row r="967" spans="1:16" ht="21.75" customHeight="1" x14ac:dyDescent="0.25">
      <c r="A967" s="547"/>
      <c r="B967" s="547"/>
      <c r="C967" s="547"/>
      <c r="D967" s="547"/>
      <c r="E967" s="548"/>
      <c r="F967" s="548"/>
      <c r="G967" s="548"/>
      <c r="H967" s="548"/>
      <c r="I967" s="548"/>
      <c r="J967" s="548"/>
      <c r="K967" s="549"/>
      <c r="L967" s="550"/>
      <c r="M967" s="550"/>
      <c r="N967" s="550"/>
      <c r="O967" s="551"/>
      <c r="P967" s="551"/>
    </row>
    <row r="968" spans="1:16" ht="21.75" customHeight="1" x14ac:dyDescent="0.25">
      <c r="A968" s="547"/>
      <c r="B968" s="547"/>
      <c r="C968" s="547"/>
      <c r="D968" s="547"/>
      <c r="E968" s="548"/>
      <c r="F968" s="548"/>
      <c r="G968" s="548"/>
      <c r="H968" s="548"/>
      <c r="I968" s="548"/>
      <c r="J968" s="548"/>
      <c r="K968" s="549"/>
      <c r="L968" s="550"/>
      <c r="M968" s="550"/>
      <c r="N968" s="550"/>
      <c r="O968" s="551"/>
      <c r="P968" s="551"/>
    </row>
    <row r="969" spans="1:16" ht="21.75" customHeight="1" x14ac:dyDescent="0.25">
      <c r="A969" s="547"/>
      <c r="B969" s="547"/>
      <c r="C969" s="547"/>
      <c r="D969" s="547"/>
      <c r="E969" s="548"/>
      <c r="F969" s="548"/>
      <c r="G969" s="548"/>
      <c r="H969" s="548"/>
      <c r="I969" s="548"/>
      <c r="J969" s="548"/>
      <c r="K969" s="549"/>
      <c r="L969" s="550"/>
      <c r="M969" s="550"/>
      <c r="N969" s="550"/>
      <c r="O969" s="551"/>
      <c r="P969" s="551"/>
    </row>
    <row r="970" spans="1:16" ht="21.75" customHeight="1" x14ac:dyDescent="0.25">
      <c r="A970" s="547"/>
      <c r="B970" s="547"/>
      <c r="C970" s="547"/>
      <c r="D970" s="547"/>
      <c r="E970" s="548"/>
      <c r="F970" s="548"/>
      <c r="G970" s="548"/>
      <c r="H970" s="548"/>
      <c r="I970" s="548"/>
      <c r="J970" s="548"/>
      <c r="K970" s="549"/>
      <c r="L970" s="550"/>
      <c r="M970" s="550"/>
      <c r="N970" s="550"/>
      <c r="O970" s="551"/>
      <c r="P970" s="551"/>
    </row>
    <row r="971" spans="1:16" ht="21.75" customHeight="1" x14ac:dyDescent="0.25">
      <c r="A971" s="547"/>
      <c r="B971" s="547"/>
      <c r="C971" s="547"/>
      <c r="D971" s="547"/>
      <c r="E971" s="548"/>
      <c r="F971" s="548"/>
      <c r="G971" s="548"/>
      <c r="H971" s="548"/>
      <c r="I971" s="548"/>
      <c r="J971" s="548"/>
      <c r="K971" s="549"/>
      <c r="L971" s="550"/>
      <c r="M971" s="550"/>
      <c r="N971" s="550"/>
      <c r="O971" s="551"/>
      <c r="P971" s="551"/>
    </row>
    <row r="972" spans="1:16" ht="21.75" customHeight="1" x14ac:dyDescent="0.25">
      <c r="A972" s="547"/>
      <c r="B972" s="547"/>
      <c r="C972" s="547"/>
      <c r="D972" s="547"/>
      <c r="E972" s="548"/>
      <c r="F972" s="548"/>
      <c r="G972" s="548"/>
      <c r="H972" s="548"/>
      <c r="I972" s="548"/>
      <c r="J972" s="548"/>
      <c r="K972" s="549"/>
      <c r="L972" s="550"/>
      <c r="M972" s="550"/>
      <c r="N972" s="550"/>
      <c r="O972" s="551"/>
      <c r="P972" s="551"/>
    </row>
    <row r="973" spans="1:16" ht="21.75" customHeight="1" x14ac:dyDescent="0.25">
      <c r="A973" s="547"/>
      <c r="B973" s="547"/>
      <c r="C973" s="547"/>
      <c r="D973" s="547"/>
      <c r="E973" s="548"/>
      <c r="F973" s="548"/>
      <c r="G973" s="548"/>
      <c r="H973" s="548"/>
      <c r="I973" s="548"/>
      <c r="J973" s="548"/>
      <c r="K973" s="549"/>
      <c r="L973" s="550"/>
      <c r="M973" s="550"/>
      <c r="N973" s="550"/>
      <c r="O973" s="551"/>
      <c r="P973" s="551"/>
    </row>
    <row r="974" spans="1:16" ht="21.75" customHeight="1" x14ac:dyDescent="0.25">
      <c r="A974" s="547"/>
      <c r="B974" s="547"/>
      <c r="C974" s="547"/>
      <c r="D974" s="547"/>
      <c r="E974" s="548"/>
      <c r="F974" s="548"/>
      <c r="G974" s="548"/>
      <c r="H974" s="548"/>
      <c r="I974" s="548"/>
      <c r="J974" s="548"/>
      <c r="K974" s="549"/>
      <c r="L974" s="550"/>
      <c r="M974" s="550"/>
      <c r="N974" s="550"/>
      <c r="O974" s="551"/>
      <c r="P974" s="551"/>
    </row>
    <row r="975" spans="1:16" ht="21.75" customHeight="1" x14ac:dyDescent="0.25">
      <c r="A975" s="547"/>
      <c r="B975" s="547"/>
      <c r="C975" s="547"/>
      <c r="D975" s="547"/>
      <c r="E975" s="548"/>
      <c r="F975" s="548"/>
      <c r="G975" s="548"/>
      <c r="H975" s="548"/>
      <c r="I975" s="548"/>
      <c r="J975" s="548"/>
      <c r="K975" s="549"/>
      <c r="L975" s="550"/>
      <c r="M975" s="550"/>
      <c r="N975" s="550"/>
      <c r="O975" s="551"/>
      <c r="P975" s="551"/>
    </row>
    <row r="976" spans="1:16" ht="21.75" customHeight="1" x14ac:dyDescent="0.25">
      <c r="A976" s="547"/>
      <c r="B976" s="547"/>
      <c r="C976" s="547"/>
      <c r="D976" s="547"/>
      <c r="E976" s="548"/>
      <c r="F976" s="548"/>
      <c r="G976" s="548"/>
      <c r="H976" s="548"/>
      <c r="I976" s="548"/>
      <c r="J976" s="548"/>
      <c r="K976" s="549"/>
      <c r="L976" s="550"/>
      <c r="M976" s="550"/>
      <c r="N976" s="550"/>
      <c r="O976" s="551"/>
      <c r="P976" s="551"/>
    </row>
    <row r="977" spans="1:16" ht="21.75" customHeight="1" x14ac:dyDescent="0.25">
      <c r="A977" s="547"/>
      <c r="B977" s="547"/>
      <c r="C977" s="547"/>
      <c r="D977" s="547"/>
      <c r="E977" s="548"/>
      <c r="F977" s="548"/>
      <c r="G977" s="548"/>
      <c r="H977" s="548"/>
      <c r="I977" s="548"/>
      <c r="J977" s="548"/>
      <c r="K977" s="549"/>
      <c r="L977" s="550"/>
      <c r="M977" s="550"/>
      <c r="N977" s="550"/>
      <c r="O977" s="551"/>
      <c r="P977" s="551"/>
    </row>
    <row r="978" spans="1:16" ht="21.75" customHeight="1" x14ac:dyDescent="0.25">
      <c r="A978" s="547"/>
      <c r="B978" s="547"/>
      <c r="C978" s="547"/>
      <c r="D978" s="547"/>
      <c r="E978" s="548"/>
      <c r="F978" s="548"/>
      <c r="G978" s="548"/>
      <c r="H978" s="548"/>
      <c r="I978" s="548"/>
      <c r="J978" s="548"/>
      <c r="K978" s="549"/>
      <c r="L978" s="550"/>
      <c r="M978" s="550"/>
      <c r="N978" s="550"/>
      <c r="O978" s="551"/>
      <c r="P978" s="551"/>
    </row>
    <row r="979" spans="1:16" ht="21.75" customHeight="1" x14ac:dyDescent="0.25">
      <c r="A979" s="547"/>
      <c r="B979" s="547"/>
      <c r="C979" s="547"/>
      <c r="D979" s="547"/>
      <c r="E979" s="548"/>
      <c r="F979" s="548"/>
      <c r="G979" s="548"/>
      <c r="H979" s="548"/>
      <c r="I979" s="548"/>
      <c r="J979" s="548"/>
      <c r="K979" s="549"/>
      <c r="L979" s="550"/>
      <c r="M979" s="550"/>
      <c r="N979" s="550"/>
      <c r="O979" s="551"/>
      <c r="P979" s="551"/>
    </row>
    <row r="980" spans="1:16" ht="21.75" customHeight="1" x14ac:dyDescent="0.25">
      <c r="A980" s="547"/>
      <c r="B980" s="547"/>
      <c r="C980" s="547"/>
      <c r="D980" s="547"/>
      <c r="E980" s="548"/>
      <c r="F980" s="548"/>
      <c r="G980" s="548"/>
      <c r="H980" s="548"/>
      <c r="I980" s="548"/>
      <c r="J980" s="548"/>
      <c r="K980" s="549"/>
      <c r="L980" s="550"/>
      <c r="M980" s="550"/>
      <c r="N980" s="550"/>
      <c r="O980" s="551"/>
      <c r="P980" s="551"/>
    </row>
    <row r="981" spans="1:16" ht="21.75" customHeight="1" x14ac:dyDescent="0.25">
      <c r="A981" s="547"/>
      <c r="B981" s="547"/>
      <c r="C981" s="547"/>
      <c r="D981" s="547"/>
      <c r="E981" s="548"/>
      <c r="F981" s="548"/>
      <c r="G981" s="548"/>
      <c r="H981" s="548"/>
      <c r="I981" s="548"/>
      <c r="J981" s="548"/>
      <c r="K981" s="549"/>
      <c r="L981" s="550"/>
      <c r="M981" s="550"/>
      <c r="N981" s="550"/>
      <c r="O981" s="551"/>
      <c r="P981" s="551"/>
    </row>
    <row r="982" spans="1:16" ht="21.75" customHeight="1" x14ac:dyDescent="0.25">
      <c r="A982" s="547"/>
      <c r="B982" s="547"/>
      <c r="C982" s="547"/>
      <c r="D982" s="547"/>
      <c r="E982" s="548"/>
      <c r="F982" s="548"/>
      <c r="G982" s="548"/>
      <c r="H982" s="548"/>
      <c r="I982" s="548"/>
      <c r="J982" s="548"/>
      <c r="K982" s="549"/>
      <c r="L982" s="550"/>
      <c r="M982" s="550"/>
      <c r="N982" s="550"/>
      <c r="O982" s="551"/>
      <c r="P982" s="551"/>
    </row>
    <row r="983" spans="1:16" ht="21.75" customHeight="1" x14ac:dyDescent="0.25">
      <c r="A983" s="547"/>
      <c r="B983" s="547"/>
      <c r="C983" s="547"/>
      <c r="D983" s="547"/>
      <c r="E983" s="548"/>
      <c r="F983" s="548"/>
      <c r="G983" s="548"/>
      <c r="H983" s="548"/>
      <c r="I983" s="548"/>
      <c r="J983" s="548"/>
      <c r="K983" s="549"/>
      <c r="L983" s="550"/>
      <c r="M983" s="550"/>
      <c r="N983" s="550"/>
      <c r="O983" s="551"/>
      <c r="P983" s="551"/>
    </row>
    <row r="984" spans="1:16" ht="21.75" customHeight="1" x14ac:dyDescent="0.25">
      <c r="A984" s="547"/>
      <c r="B984" s="547"/>
      <c r="C984" s="547"/>
      <c r="D984" s="547"/>
      <c r="E984" s="548"/>
      <c r="F984" s="548"/>
      <c r="G984" s="548"/>
      <c r="H984" s="548"/>
      <c r="I984" s="548"/>
      <c r="J984" s="548"/>
      <c r="K984" s="549"/>
      <c r="L984" s="550"/>
      <c r="M984" s="550"/>
      <c r="N984" s="550"/>
      <c r="O984" s="551"/>
      <c r="P984" s="551"/>
    </row>
    <row r="985" spans="1:16" ht="21.75" customHeight="1" x14ac:dyDescent="0.25">
      <c r="A985" s="547"/>
      <c r="B985" s="547"/>
      <c r="C985" s="547"/>
      <c r="D985" s="547"/>
      <c r="E985" s="548"/>
      <c r="F985" s="548"/>
      <c r="G985" s="548"/>
      <c r="H985" s="548"/>
      <c r="I985" s="548"/>
      <c r="J985" s="548"/>
      <c r="K985" s="549"/>
      <c r="L985" s="550"/>
      <c r="M985" s="550"/>
      <c r="N985" s="550"/>
      <c r="O985" s="551"/>
      <c r="P985" s="551"/>
    </row>
    <row r="986" spans="1:16" ht="21.75" customHeight="1" x14ac:dyDescent="0.25">
      <c r="A986" s="547"/>
      <c r="B986" s="547"/>
      <c r="C986" s="547"/>
      <c r="D986" s="547"/>
      <c r="E986" s="548"/>
      <c r="F986" s="548"/>
      <c r="G986" s="548"/>
      <c r="H986" s="548"/>
      <c r="I986" s="548"/>
      <c r="J986" s="548"/>
      <c r="K986" s="549"/>
      <c r="L986" s="550"/>
      <c r="M986" s="550"/>
      <c r="N986" s="550"/>
      <c r="O986" s="551"/>
      <c r="P986" s="551"/>
    </row>
    <row r="987" spans="1:16" ht="21.75" customHeight="1" x14ac:dyDescent="0.25">
      <c r="A987" s="547"/>
      <c r="B987" s="547"/>
      <c r="C987" s="547"/>
      <c r="D987" s="547"/>
      <c r="E987" s="548"/>
      <c r="F987" s="548"/>
      <c r="G987" s="548"/>
      <c r="H987" s="548"/>
      <c r="I987" s="548"/>
      <c r="J987" s="548"/>
      <c r="K987" s="549"/>
      <c r="L987" s="550"/>
      <c r="M987" s="550"/>
      <c r="N987" s="550"/>
      <c r="O987" s="551"/>
      <c r="P987" s="551"/>
    </row>
    <row r="988" spans="1:16" ht="21.75" customHeight="1" x14ac:dyDescent="0.25">
      <c r="A988" s="547"/>
      <c r="B988" s="547"/>
      <c r="C988" s="547"/>
      <c r="D988" s="547"/>
      <c r="E988" s="548"/>
      <c r="F988" s="548"/>
      <c r="G988" s="548"/>
      <c r="H988" s="548"/>
      <c r="I988" s="548"/>
      <c r="J988" s="548"/>
      <c r="K988" s="549"/>
      <c r="L988" s="550"/>
      <c r="M988" s="550"/>
      <c r="N988" s="550"/>
      <c r="O988" s="551"/>
      <c r="P988" s="551"/>
    </row>
    <row r="989" spans="1:16" ht="21.75" customHeight="1" x14ac:dyDescent="0.25">
      <c r="A989" s="547"/>
      <c r="B989" s="547"/>
      <c r="C989" s="547"/>
      <c r="D989" s="547"/>
      <c r="E989" s="548"/>
      <c r="F989" s="548"/>
      <c r="G989" s="548"/>
      <c r="H989" s="548"/>
      <c r="I989" s="548"/>
      <c r="J989" s="548"/>
      <c r="K989" s="549"/>
      <c r="L989" s="550"/>
      <c r="M989" s="550"/>
      <c r="N989" s="550"/>
      <c r="O989" s="551"/>
      <c r="P989" s="551"/>
    </row>
    <row r="990" spans="1:16" ht="21.75" customHeight="1" x14ac:dyDescent="0.25">
      <c r="A990" s="547"/>
      <c r="B990" s="547"/>
      <c r="C990" s="547"/>
      <c r="D990" s="547"/>
      <c r="E990" s="548"/>
      <c r="F990" s="548"/>
      <c r="G990" s="548"/>
      <c r="H990" s="548"/>
      <c r="I990" s="548"/>
      <c r="J990" s="548"/>
      <c r="K990" s="549"/>
      <c r="L990" s="550"/>
      <c r="M990" s="550"/>
      <c r="N990" s="550"/>
      <c r="O990" s="551"/>
      <c r="P990" s="551"/>
    </row>
    <row r="991" spans="1:16" ht="21.75" customHeight="1" x14ac:dyDescent="0.25">
      <c r="A991" s="547"/>
      <c r="B991" s="547"/>
      <c r="C991" s="547"/>
      <c r="D991" s="547"/>
      <c r="E991" s="548"/>
      <c r="F991" s="548"/>
      <c r="G991" s="548"/>
      <c r="H991" s="548"/>
      <c r="I991" s="548"/>
      <c r="J991" s="548"/>
      <c r="K991" s="549"/>
      <c r="L991" s="550"/>
      <c r="M991" s="550"/>
      <c r="N991" s="550"/>
      <c r="O991" s="551"/>
      <c r="P991" s="551"/>
    </row>
    <row r="992" spans="1:16" ht="21.75" customHeight="1" x14ac:dyDescent="0.25">
      <c r="A992" s="547"/>
      <c r="B992" s="547"/>
      <c r="C992" s="547"/>
      <c r="D992" s="547"/>
      <c r="E992" s="548"/>
      <c r="F992" s="548"/>
      <c r="G992" s="548"/>
      <c r="H992" s="548"/>
      <c r="I992" s="548"/>
      <c r="J992" s="548"/>
      <c r="K992" s="549"/>
      <c r="L992" s="550"/>
      <c r="M992" s="550"/>
      <c r="N992" s="550"/>
      <c r="O992" s="551"/>
      <c r="P992" s="551"/>
    </row>
    <row r="993" spans="1:16" ht="21.75" customHeight="1" x14ac:dyDescent="0.25">
      <c r="A993" s="547"/>
      <c r="B993" s="547"/>
      <c r="C993" s="547"/>
      <c r="D993" s="547"/>
      <c r="E993" s="548"/>
      <c r="F993" s="548"/>
      <c r="G993" s="548"/>
      <c r="H993" s="548"/>
      <c r="I993" s="548"/>
      <c r="J993" s="548"/>
      <c r="K993" s="549"/>
      <c r="L993" s="550"/>
      <c r="M993" s="550"/>
      <c r="N993" s="550"/>
      <c r="O993" s="551"/>
      <c r="P993" s="551"/>
    </row>
    <row r="994" spans="1:16" ht="21.75" customHeight="1" x14ac:dyDescent="0.25">
      <c r="A994" s="547"/>
      <c r="B994" s="547"/>
      <c r="C994" s="547"/>
      <c r="D994" s="547"/>
      <c r="E994" s="548"/>
      <c r="F994" s="548"/>
      <c r="G994" s="548"/>
      <c r="H994" s="548"/>
      <c r="I994" s="548"/>
      <c r="J994" s="548"/>
      <c r="K994" s="549"/>
      <c r="L994" s="550"/>
      <c r="M994" s="550"/>
      <c r="N994" s="550"/>
      <c r="O994" s="551"/>
      <c r="P994" s="551"/>
    </row>
    <row r="995" spans="1:16" ht="21.75" customHeight="1" x14ac:dyDescent="0.25">
      <c r="A995" s="547"/>
      <c r="B995" s="547"/>
      <c r="C995" s="547"/>
      <c r="D995" s="547"/>
      <c r="E995" s="548"/>
      <c r="F995" s="548"/>
      <c r="G995" s="548"/>
      <c r="H995" s="548"/>
      <c r="I995" s="548"/>
      <c r="J995" s="548"/>
      <c r="K995" s="549"/>
      <c r="L995" s="550"/>
      <c r="M995" s="550"/>
      <c r="N995" s="550"/>
      <c r="O995" s="551"/>
      <c r="P995" s="551"/>
    </row>
    <row r="996" spans="1:16" ht="21.75" customHeight="1" x14ac:dyDescent="0.25">
      <c r="A996" s="547"/>
      <c r="B996" s="547"/>
      <c r="C996" s="547"/>
      <c r="D996" s="547"/>
      <c r="E996" s="548"/>
      <c r="F996" s="548"/>
      <c r="G996" s="548"/>
      <c r="H996" s="548"/>
      <c r="I996" s="548"/>
      <c r="J996" s="548"/>
      <c r="K996" s="549"/>
      <c r="L996" s="550"/>
      <c r="M996" s="550"/>
      <c r="N996" s="550"/>
      <c r="O996" s="551"/>
      <c r="P996" s="551"/>
    </row>
    <row r="997" spans="1:16" ht="21.75" customHeight="1" x14ac:dyDescent="0.25">
      <c r="A997" s="547"/>
      <c r="B997" s="547"/>
      <c r="C997" s="547"/>
      <c r="D997" s="547"/>
      <c r="E997" s="548"/>
      <c r="F997" s="548"/>
      <c r="G997" s="548"/>
      <c r="H997" s="548"/>
      <c r="I997" s="548"/>
      <c r="J997" s="548"/>
      <c r="K997" s="549"/>
      <c r="L997" s="550"/>
      <c r="M997" s="550"/>
      <c r="N997" s="550"/>
      <c r="O997" s="551"/>
      <c r="P997" s="551"/>
    </row>
    <row r="998" spans="1:16" ht="21.75" customHeight="1" x14ac:dyDescent="0.25">
      <c r="A998" s="547"/>
      <c r="B998" s="547"/>
      <c r="C998" s="547"/>
      <c r="D998" s="547"/>
      <c r="E998" s="548"/>
      <c r="F998" s="548"/>
      <c r="G998" s="548"/>
      <c r="H998" s="548"/>
      <c r="I998" s="548"/>
      <c r="J998" s="548"/>
      <c r="K998" s="549"/>
      <c r="L998" s="550"/>
      <c r="M998" s="550"/>
      <c r="N998" s="550"/>
      <c r="O998" s="551"/>
      <c r="P998" s="551"/>
    </row>
    <row r="999" spans="1:16" ht="21.75" customHeight="1" x14ac:dyDescent="0.25">
      <c r="A999" s="547"/>
      <c r="B999" s="547"/>
      <c r="C999" s="547"/>
      <c r="D999" s="547"/>
      <c r="E999" s="548"/>
      <c r="F999" s="548"/>
      <c r="G999" s="548"/>
      <c r="H999" s="548"/>
      <c r="I999" s="548"/>
      <c r="J999" s="548"/>
      <c r="K999" s="549"/>
      <c r="L999" s="550"/>
      <c r="M999" s="550"/>
      <c r="N999" s="550"/>
      <c r="O999" s="551"/>
      <c r="P999" s="551"/>
    </row>
    <row r="1000" spans="1:16" ht="21.75" customHeight="1" x14ac:dyDescent="0.25">
      <c r="A1000" s="547"/>
      <c r="B1000" s="547"/>
      <c r="C1000" s="547"/>
      <c r="D1000" s="547"/>
      <c r="E1000" s="548"/>
      <c r="F1000" s="548"/>
      <c r="G1000" s="548"/>
      <c r="H1000" s="548"/>
      <c r="I1000" s="548"/>
      <c r="J1000" s="548"/>
      <c r="K1000" s="549"/>
      <c r="L1000" s="550"/>
      <c r="M1000" s="550"/>
      <c r="N1000" s="550"/>
      <c r="O1000" s="551"/>
      <c r="P1000" s="551"/>
    </row>
    <row r="1001" spans="1:16" ht="21.75" customHeight="1" x14ac:dyDescent="0.25">
      <c r="A1001" s="547"/>
      <c r="B1001" s="547"/>
      <c r="C1001" s="547"/>
      <c r="D1001" s="547"/>
      <c r="E1001" s="548"/>
      <c r="F1001" s="548"/>
      <c r="G1001" s="548"/>
      <c r="H1001" s="548"/>
      <c r="I1001" s="548"/>
      <c r="J1001" s="548"/>
      <c r="K1001" s="549"/>
      <c r="L1001" s="550"/>
      <c r="M1001" s="550"/>
      <c r="N1001" s="550"/>
      <c r="O1001" s="551"/>
      <c r="P1001" s="551"/>
    </row>
    <row r="1002" spans="1:16" ht="21.75" customHeight="1" x14ac:dyDescent="0.25">
      <c r="A1002" s="547"/>
      <c r="B1002" s="547"/>
      <c r="C1002" s="547"/>
      <c r="D1002" s="547"/>
      <c r="E1002" s="548"/>
      <c r="F1002" s="548"/>
      <c r="G1002" s="548"/>
      <c r="H1002" s="548"/>
      <c r="I1002" s="548"/>
      <c r="J1002" s="548"/>
      <c r="K1002" s="549"/>
      <c r="L1002" s="550"/>
      <c r="M1002" s="550"/>
      <c r="N1002" s="550"/>
      <c r="O1002" s="551"/>
      <c r="P1002" s="551"/>
    </row>
    <row r="1003" spans="1:16" ht="21.75" customHeight="1" x14ac:dyDescent="0.25">
      <c r="A1003" s="547"/>
      <c r="B1003" s="547"/>
      <c r="C1003" s="547"/>
      <c r="D1003" s="547"/>
      <c r="E1003" s="548"/>
      <c r="F1003" s="548"/>
      <c r="G1003" s="548"/>
      <c r="H1003" s="548"/>
      <c r="I1003" s="548"/>
      <c r="J1003" s="548"/>
      <c r="K1003" s="549"/>
      <c r="L1003" s="550"/>
      <c r="M1003" s="550"/>
      <c r="N1003" s="550"/>
      <c r="O1003" s="551"/>
      <c r="P1003" s="551"/>
    </row>
    <row r="1004" spans="1:16" ht="21.75" customHeight="1" x14ac:dyDescent="0.25">
      <c r="A1004" s="547"/>
      <c r="B1004" s="547"/>
      <c r="C1004" s="547"/>
      <c r="D1004" s="547"/>
      <c r="E1004" s="548"/>
      <c r="F1004" s="548"/>
      <c r="G1004" s="548"/>
      <c r="H1004" s="548"/>
      <c r="I1004" s="548"/>
      <c r="J1004" s="548"/>
      <c r="K1004" s="549"/>
      <c r="L1004" s="550"/>
      <c r="M1004" s="550"/>
      <c r="N1004" s="550"/>
      <c r="O1004" s="551"/>
      <c r="P1004" s="551"/>
    </row>
    <row r="1005" spans="1:16" ht="21.75" customHeight="1" x14ac:dyDescent="0.25">
      <c r="A1005" s="547"/>
      <c r="B1005" s="547"/>
      <c r="C1005" s="547"/>
      <c r="D1005" s="547"/>
      <c r="E1005" s="548"/>
      <c r="F1005" s="548"/>
      <c r="G1005" s="548"/>
      <c r="H1005" s="548"/>
      <c r="I1005" s="548"/>
      <c r="J1005" s="548"/>
      <c r="K1005" s="549"/>
      <c r="L1005" s="550"/>
      <c r="M1005" s="550"/>
      <c r="N1005" s="550"/>
      <c r="O1005" s="551"/>
      <c r="P1005" s="551"/>
    </row>
    <row r="1006" spans="1:16" ht="21.75" customHeight="1" x14ac:dyDescent="0.25">
      <c r="A1006" s="547"/>
      <c r="B1006" s="547"/>
      <c r="C1006" s="547"/>
      <c r="D1006" s="547"/>
      <c r="E1006" s="548"/>
      <c r="F1006" s="548"/>
      <c r="G1006" s="548"/>
      <c r="H1006" s="548"/>
      <c r="I1006" s="548"/>
      <c r="J1006" s="548"/>
      <c r="K1006" s="549"/>
      <c r="L1006" s="550"/>
      <c r="M1006" s="550"/>
      <c r="N1006" s="550"/>
      <c r="O1006" s="551"/>
      <c r="P1006" s="551"/>
    </row>
    <row r="1007" spans="1:16" ht="21.75" customHeight="1" x14ac:dyDescent="0.25">
      <c r="A1007" s="547"/>
      <c r="B1007" s="547"/>
      <c r="C1007" s="547"/>
      <c r="D1007" s="547"/>
      <c r="E1007" s="548"/>
      <c r="F1007" s="548"/>
      <c r="G1007" s="548"/>
      <c r="H1007" s="548"/>
      <c r="I1007" s="548"/>
      <c r="J1007" s="548"/>
      <c r="K1007" s="549"/>
      <c r="L1007" s="550"/>
      <c r="M1007" s="550"/>
      <c r="N1007" s="550"/>
      <c r="O1007" s="551"/>
      <c r="P1007" s="551"/>
    </row>
    <row r="1008" spans="1:16" ht="21.75" customHeight="1" x14ac:dyDescent="0.25">
      <c r="A1008" s="547"/>
      <c r="B1008" s="547"/>
      <c r="C1008" s="547"/>
      <c r="D1008" s="547"/>
      <c r="E1008" s="548"/>
      <c r="F1008" s="548"/>
      <c r="G1008" s="548"/>
      <c r="H1008" s="548"/>
      <c r="I1008" s="548"/>
      <c r="J1008" s="548"/>
      <c r="K1008" s="549"/>
      <c r="L1008" s="550"/>
      <c r="M1008" s="550"/>
      <c r="N1008" s="550"/>
      <c r="O1008" s="551"/>
      <c r="P1008" s="551"/>
    </row>
    <row r="1009" spans="1:16" ht="21.75" customHeight="1" x14ac:dyDescent="0.25">
      <c r="A1009" s="547"/>
      <c r="B1009" s="547"/>
      <c r="C1009" s="547"/>
      <c r="D1009" s="547"/>
      <c r="E1009" s="548"/>
      <c r="F1009" s="548"/>
      <c r="G1009" s="548"/>
      <c r="H1009" s="548"/>
      <c r="I1009" s="548"/>
      <c r="J1009" s="548"/>
      <c r="K1009" s="549"/>
      <c r="L1009" s="550"/>
      <c r="M1009" s="550"/>
      <c r="N1009" s="550"/>
      <c r="O1009" s="551"/>
      <c r="P1009" s="551"/>
    </row>
    <row r="1010" spans="1:16" ht="21.75" customHeight="1" x14ac:dyDescent="0.25">
      <c r="A1010" s="547"/>
      <c r="B1010" s="547"/>
      <c r="C1010" s="547"/>
      <c r="D1010" s="547"/>
      <c r="E1010" s="548"/>
      <c r="F1010" s="548"/>
      <c r="G1010" s="548"/>
      <c r="H1010" s="548"/>
      <c r="I1010" s="548"/>
      <c r="J1010" s="548"/>
      <c r="K1010" s="549"/>
      <c r="L1010" s="550"/>
      <c r="M1010" s="550"/>
      <c r="N1010" s="550"/>
      <c r="O1010" s="551"/>
      <c r="P1010" s="551"/>
    </row>
    <row r="1011" spans="1:16" ht="21.75" customHeight="1" x14ac:dyDescent="0.25">
      <c r="A1011" s="547"/>
      <c r="B1011" s="547"/>
      <c r="C1011" s="547"/>
      <c r="D1011" s="547"/>
      <c r="E1011" s="548"/>
      <c r="F1011" s="548"/>
      <c r="G1011" s="548"/>
      <c r="H1011" s="548"/>
      <c r="I1011" s="548"/>
      <c r="J1011" s="548"/>
      <c r="K1011" s="549"/>
      <c r="L1011" s="550"/>
      <c r="M1011" s="550"/>
      <c r="N1011" s="550"/>
      <c r="O1011" s="551"/>
      <c r="P1011" s="551"/>
    </row>
    <row r="1012" spans="1:16" ht="21.75" customHeight="1" x14ac:dyDescent="0.25">
      <c r="A1012" s="547"/>
      <c r="B1012" s="547"/>
      <c r="C1012" s="547"/>
      <c r="D1012" s="547"/>
      <c r="E1012" s="548"/>
      <c r="F1012" s="548"/>
      <c r="G1012" s="548"/>
      <c r="H1012" s="548"/>
      <c r="I1012" s="548"/>
      <c r="J1012" s="548"/>
      <c r="K1012" s="549"/>
      <c r="L1012" s="550"/>
      <c r="M1012" s="550"/>
      <c r="N1012" s="550"/>
      <c r="O1012" s="551"/>
      <c r="P1012" s="551"/>
    </row>
    <row r="1013" spans="1:16" ht="21.75" customHeight="1" x14ac:dyDescent="0.25">
      <c r="A1013" s="547"/>
      <c r="B1013" s="547"/>
      <c r="C1013" s="547"/>
      <c r="D1013" s="547"/>
      <c r="E1013" s="548"/>
      <c r="F1013" s="548"/>
      <c r="G1013" s="548"/>
      <c r="H1013" s="548"/>
      <c r="I1013" s="548"/>
      <c r="J1013" s="548"/>
      <c r="K1013" s="549"/>
      <c r="L1013" s="550"/>
      <c r="M1013" s="550"/>
      <c r="N1013" s="550"/>
      <c r="O1013" s="551"/>
      <c r="P1013" s="551"/>
    </row>
    <row r="1014" spans="1:16" ht="21.75" customHeight="1" x14ac:dyDescent="0.25">
      <c r="A1014" s="547"/>
      <c r="B1014" s="547"/>
      <c r="C1014" s="547"/>
      <c r="D1014" s="547"/>
      <c r="E1014" s="548"/>
      <c r="F1014" s="548"/>
      <c r="G1014" s="548"/>
      <c r="H1014" s="548"/>
      <c r="I1014" s="548"/>
      <c r="J1014" s="548"/>
      <c r="K1014" s="549"/>
      <c r="L1014" s="550"/>
      <c r="M1014" s="550"/>
      <c r="N1014" s="550"/>
      <c r="O1014" s="551"/>
      <c r="P1014" s="551"/>
    </row>
    <row r="1015" spans="1:16" ht="21.75" customHeight="1" x14ac:dyDescent="0.25">
      <c r="A1015" s="547"/>
      <c r="B1015" s="547"/>
      <c r="C1015" s="547"/>
      <c r="D1015" s="547"/>
      <c r="E1015" s="548"/>
      <c r="F1015" s="548"/>
      <c r="G1015" s="548"/>
      <c r="H1015" s="548"/>
      <c r="I1015" s="548"/>
      <c r="J1015" s="548"/>
      <c r="K1015" s="549"/>
      <c r="L1015" s="550"/>
      <c r="M1015" s="550"/>
      <c r="N1015" s="550"/>
      <c r="O1015" s="551"/>
      <c r="P1015" s="551"/>
    </row>
    <row r="1016" spans="1:16" ht="21.75" customHeight="1" x14ac:dyDescent="0.25">
      <c r="A1016" s="547"/>
      <c r="B1016" s="547"/>
      <c r="C1016" s="547"/>
      <c r="D1016" s="547"/>
      <c r="E1016" s="548"/>
      <c r="F1016" s="548"/>
      <c r="G1016" s="548"/>
      <c r="H1016" s="548"/>
      <c r="I1016" s="548"/>
      <c r="J1016" s="548"/>
      <c r="K1016" s="549"/>
      <c r="L1016" s="550"/>
      <c r="M1016" s="550"/>
      <c r="N1016" s="550"/>
      <c r="O1016" s="551"/>
      <c r="P1016" s="551"/>
    </row>
    <row r="1017" spans="1:16" ht="21.75" customHeight="1" x14ac:dyDescent="0.25">
      <c r="A1017" s="547"/>
      <c r="B1017" s="547"/>
      <c r="C1017" s="547"/>
      <c r="D1017" s="547"/>
      <c r="E1017" s="548"/>
      <c r="F1017" s="548"/>
      <c r="G1017" s="548"/>
      <c r="H1017" s="548"/>
      <c r="I1017" s="548"/>
      <c r="J1017" s="548"/>
      <c r="K1017" s="549"/>
      <c r="L1017" s="550"/>
      <c r="M1017" s="550"/>
      <c r="N1017" s="550"/>
      <c r="O1017" s="551"/>
      <c r="P1017" s="551"/>
    </row>
    <row r="1018" spans="1:16" ht="21.75" customHeight="1" x14ac:dyDescent="0.25">
      <c r="A1018" s="547"/>
      <c r="B1018" s="547"/>
      <c r="C1018" s="547"/>
      <c r="D1018" s="547"/>
      <c r="E1018" s="548"/>
      <c r="F1018" s="548"/>
      <c r="G1018" s="548"/>
      <c r="H1018" s="548"/>
      <c r="I1018" s="548"/>
      <c r="J1018" s="548"/>
      <c r="K1018" s="549"/>
      <c r="L1018" s="550"/>
      <c r="M1018" s="550"/>
      <c r="N1018" s="550"/>
      <c r="O1018" s="551"/>
      <c r="P1018" s="551"/>
    </row>
    <row r="1019" spans="1:16" ht="21.75" customHeight="1" x14ac:dyDescent="0.25">
      <c r="A1019" s="547"/>
      <c r="B1019" s="547"/>
      <c r="C1019" s="547"/>
      <c r="D1019" s="547"/>
      <c r="E1019" s="548"/>
      <c r="F1019" s="548"/>
      <c r="G1019" s="548"/>
      <c r="H1019" s="548"/>
      <c r="I1019" s="548"/>
      <c r="J1019" s="548"/>
      <c r="K1019" s="549"/>
      <c r="L1019" s="550"/>
      <c r="M1019" s="550"/>
      <c r="N1019" s="550"/>
      <c r="O1019" s="551"/>
      <c r="P1019" s="551"/>
    </row>
    <row r="1020" spans="1:16" ht="21.75" customHeight="1" x14ac:dyDescent="0.25">
      <c r="A1020" s="547"/>
      <c r="B1020" s="547"/>
      <c r="C1020" s="547"/>
      <c r="D1020" s="547"/>
      <c r="E1020" s="548"/>
      <c r="F1020" s="548"/>
      <c r="G1020" s="548"/>
      <c r="H1020" s="548"/>
      <c r="I1020" s="548"/>
      <c r="J1020" s="548"/>
      <c r="K1020" s="549"/>
      <c r="L1020" s="550"/>
      <c r="M1020" s="550"/>
      <c r="N1020" s="550"/>
      <c r="O1020" s="551"/>
      <c r="P1020" s="551"/>
    </row>
    <row r="1021" spans="1:16" ht="21.75" customHeight="1" x14ac:dyDescent="0.25">
      <c r="A1021" s="547"/>
      <c r="B1021" s="547"/>
      <c r="C1021" s="547"/>
      <c r="D1021" s="547"/>
      <c r="E1021" s="548"/>
      <c r="F1021" s="548"/>
      <c r="G1021" s="548"/>
      <c r="H1021" s="548"/>
      <c r="I1021" s="548"/>
      <c r="J1021" s="548"/>
      <c r="K1021" s="549"/>
      <c r="L1021" s="550"/>
      <c r="M1021" s="550"/>
      <c r="N1021" s="550"/>
      <c r="O1021" s="551"/>
      <c r="P1021" s="551"/>
    </row>
    <row r="1022" spans="1:16" ht="21.75" customHeight="1" x14ac:dyDescent="0.25">
      <c r="A1022" s="547"/>
      <c r="B1022" s="547"/>
      <c r="C1022" s="547"/>
      <c r="D1022" s="547"/>
      <c r="E1022" s="548"/>
      <c r="F1022" s="548"/>
      <c r="G1022" s="548"/>
      <c r="H1022" s="548"/>
      <c r="I1022" s="548"/>
      <c r="J1022" s="548"/>
      <c r="K1022" s="549"/>
      <c r="L1022" s="550"/>
      <c r="M1022" s="550"/>
      <c r="N1022" s="550"/>
      <c r="O1022" s="551"/>
      <c r="P1022" s="551"/>
    </row>
    <row r="1023" spans="1:16" ht="21.75" customHeight="1" x14ac:dyDescent="0.25">
      <c r="A1023" s="547"/>
      <c r="B1023" s="547"/>
      <c r="C1023" s="547"/>
      <c r="D1023" s="547"/>
      <c r="E1023" s="548"/>
      <c r="F1023" s="548"/>
      <c r="G1023" s="548"/>
      <c r="H1023" s="548"/>
      <c r="I1023" s="548"/>
      <c r="J1023" s="548"/>
      <c r="K1023" s="549"/>
      <c r="L1023" s="550"/>
      <c r="M1023" s="550"/>
      <c r="N1023" s="550"/>
      <c r="O1023" s="551"/>
      <c r="P1023" s="551"/>
    </row>
    <row r="1024" spans="1:16" ht="21.75" customHeight="1" x14ac:dyDescent="0.25">
      <c r="A1024" s="547"/>
      <c r="B1024" s="547"/>
      <c r="C1024" s="547"/>
      <c r="D1024" s="547"/>
      <c r="E1024" s="548"/>
      <c r="F1024" s="548"/>
      <c r="G1024" s="548"/>
      <c r="H1024" s="548"/>
      <c r="I1024" s="548"/>
      <c r="J1024" s="548"/>
      <c r="K1024" s="549"/>
      <c r="L1024" s="550"/>
      <c r="M1024" s="550"/>
      <c r="N1024" s="550"/>
      <c r="O1024" s="551"/>
      <c r="P1024" s="551"/>
    </row>
    <row r="1025" spans="1:16" ht="21.75" customHeight="1" x14ac:dyDescent="0.25">
      <c r="A1025" s="547"/>
      <c r="B1025" s="547"/>
      <c r="C1025" s="547"/>
      <c r="D1025" s="547"/>
      <c r="E1025" s="548"/>
      <c r="F1025" s="548"/>
      <c r="G1025" s="548"/>
      <c r="H1025" s="548"/>
      <c r="I1025" s="548"/>
      <c r="J1025" s="548"/>
      <c r="K1025" s="549"/>
      <c r="L1025" s="550"/>
      <c r="M1025" s="550"/>
      <c r="N1025" s="550"/>
      <c r="O1025" s="551"/>
      <c r="P1025" s="551"/>
    </row>
    <row r="1026" spans="1:16" ht="21.75" customHeight="1" x14ac:dyDescent="0.25">
      <c r="A1026" s="547"/>
      <c r="B1026" s="547"/>
      <c r="C1026" s="547"/>
      <c r="D1026" s="547"/>
      <c r="E1026" s="548"/>
      <c r="F1026" s="548"/>
      <c r="G1026" s="548"/>
      <c r="H1026" s="548"/>
      <c r="I1026" s="548"/>
      <c r="J1026" s="548"/>
      <c r="K1026" s="549"/>
      <c r="L1026" s="550"/>
      <c r="M1026" s="550"/>
      <c r="N1026" s="550"/>
      <c r="O1026" s="551"/>
      <c r="P1026" s="551"/>
    </row>
    <row r="1027" spans="1:16" ht="21.75" customHeight="1" x14ac:dyDescent="0.25">
      <c r="A1027" s="547"/>
      <c r="B1027" s="547"/>
      <c r="C1027" s="547"/>
      <c r="D1027" s="547"/>
      <c r="E1027" s="548"/>
      <c r="F1027" s="548"/>
      <c r="G1027" s="548"/>
      <c r="H1027" s="548"/>
      <c r="I1027" s="548"/>
      <c r="J1027" s="548"/>
      <c r="K1027" s="549"/>
      <c r="L1027" s="550"/>
      <c r="M1027" s="550"/>
      <c r="N1027" s="550"/>
      <c r="O1027" s="551"/>
      <c r="P1027" s="551"/>
    </row>
    <row r="1028" spans="1:16" ht="21.75" customHeight="1" x14ac:dyDescent="0.25">
      <c r="A1028" s="547"/>
      <c r="B1028" s="547"/>
      <c r="C1028" s="547"/>
      <c r="D1028" s="547"/>
      <c r="E1028" s="548"/>
      <c r="F1028" s="548"/>
      <c r="G1028" s="548"/>
      <c r="H1028" s="548"/>
      <c r="I1028" s="548"/>
      <c r="J1028" s="548"/>
      <c r="K1028" s="549"/>
      <c r="L1028" s="550"/>
      <c r="M1028" s="550"/>
      <c r="N1028" s="550"/>
      <c r="O1028" s="551"/>
      <c r="P1028" s="551"/>
    </row>
    <row r="1029" spans="1:16" ht="21.75" customHeight="1" x14ac:dyDescent="0.25">
      <c r="A1029" s="547"/>
      <c r="B1029" s="547"/>
      <c r="C1029" s="547"/>
      <c r="D1029" s="547"/>
      <c r="E1029" s="548"/>
      <c r="F1029" s="548"/>
      <c r="G1029" s="548"/>
      <c r="H1029" s="548"/>
      <c r="I1029" s="548"/>
      <c r="J1029" s="548"/>
      <c r="K1029" s="549"/>
      <c r="L1029" s="550"/>
      <c r="M1029" s="550"/>
      <c r="N1029" s="550"/>
      <c r="O1029" s="551"/>
      <c r="P1029" s="551"/>
    </row>
    <row r="1030" spans="1:16" ht="21.75" customHeight="1" x14ac:dyDescent="0.25">
      <c r="A1030" s="547"/>
      <c r="B1030" s="547"/>
      <c r="C1030" s="547"/>
      <c r="D1030" s="547"/>
      <c r="E1030" s="548"/>
      <c r="F1030" s="548"/>
      <c r="G1030" s="548"/>
      <c r="H1030" s="548"/>
      <c r="I1030" s="548"/>
      <c r="J1030" s="548"/>
      <c r="K1030" s="549"/>
      <c r="L1030" s="550"/>
      <c r="M1030" s="550"/>
      <c r="N1030" s="550"/>
      <c r="O1030" s="551"/>
      <c r="P1030" s="551"/>
    </row>
    <row r="1031" spans="1:16" ht="21.75" customHeight="1" x14ac:dyDescent="0.25">
      <c r="A1031" s="547"/>
      <c r="B1031" s="547"/>
      <c r="C1031" s="547"/>
      <c r="D1031" s="547"/>
      <c r="E1031" s="548"/>
      <c r="F1031" s="548"/>
      <c r="G1031" s="548"/>
      <c r="H1031" s="548"/>
      <c r="I1031" s="548"/>
      <c r="J1031" s="548"/>
      <c r="K1031" s="549"/>
      <c r="L1031" s="550"/>
      <c r="M1031" s="550"/>
      <c r="N1031" s="550"/>
      <c r="O1031" s="551"/>
      <c r="P1031" s="551"/>
    </row>
    <row r="1032" spans="1:16" ht="21.75" customHeight="1" x14ac:dyDescent="0.25">
      <c r="A1032" s="547"/>
      <c r="B1032" s="547"/>
      <c r="C1032" s="547"/>
      <c r="D1032" s="547"/>
      <c r="E1032" s="548"/>
      <c r="F1032" s="548"/>
      <c r="G1032" s="548"/>
      <c r="H1032" s="548"/>
      <c r="I1032" s="548"/>
      <c r="J1032" s="548"/>
      <c r="K1032" s="549"/>
      <c r="L1032" s="550"/>
      <c r="M1032" s="550"/>
      <c r="N1032" s="550"/>
      <c r="O1032" s="551"/>
      <c r="P1032" s="551"/>
    </row>
    <row r="1033" spans="1:16" ht="21.75" customHeight="1" x14ac:dyDescent="0.25">
      <c r="A1033" s="547"/>
      <c r="B1033" s="547"/>
      <c r="C1033" s="547"/>
      <c r="D1033" s="547"/>
      <c r="E1033" s="548"/>
      <c r="F1033" s="548"/>
      <c r="G1033" s="548"/>
      <c r="H1033" s="548"/>
      <c r="I1033" s="548"/>
      <c r="J1033" s="548"/>
      <c r="K1033" s="549"/>
      <c r="L1033" s="550"/>
      <c r="M1033" s="550"/>
      <c r="N1033" s="550"/>
      <c r="O1033" s="551"/>
      <c r="P1033" s="551"/>
    </row>
    <row r="1034" spans="1:16" ht="21.75" customHeight="1" x14ac:dyDescent="0.25">
      <c r="A1034" s="547"/>
      <c r="B1034" s="547"/>
      <c r="C1034" s="547"/>
      <c r="D1034" s="547"/>
      <c r="E1034" s="548"/>
      <c r="F1034" s="548"/>
      <c r="G1034" s="548"/>
      <c r="H1034" s="548"/>
      <c r="I1034" s="548"/>
      <c r="J1034" s="548"/>
      <c r="K1034" s="549"/>
      <c r="L1034" s="550"/>
      <c r="M1034" s="550"/>
      <c r="N1034" s="550"/>
      <c r="O1034" s="551"/>
      <c r="P1034" s="551"/>
    </row>
    <row r="1035" spans="1:16" ht="21.75" customHeight="1" x14ac:dyDescent="0.25">
      <c r="A1035" s="547"/>
      <c r="B1035" s="547"/>
      <c r="C1035" s="547"/>
      <c r="D1035" s="547"/>
      <c r="E1035" s="548"/>
      <c r="F1035" s="548"/>
      <c r="G1035" s="548"/>
      <c r="H1035" s="548"/>
      <c r="I1035" s="548"/>
      <c r="J1035" s="548"/>
      <c r="K1035" s="549"/>
      <c r="L1035" s="550"/>
      <c r="M1035" s="550"/>
      <c r="N1035" s="550"/>
      <c r="O1035" s="551"/>
      <c r="P1035" s="551"/>
    </row>
    <row r="1036" spans="1:16" ht="21.75" customHeight="1" x14ac:dyDescent="0.25">
      <c r="A1036" s="547"/>
      <c r="B1036" s="547"/>
      <c r="C1036" s="547"/>
      <c r="D1036" s="547"/>
      <c r="E1036" s="548"/>
      <c r="F1036" s="548"/>
      <c r="G1036" s="548"/>
      <c r="H1036" s="548"/>
      <c r="I1036" s="548"/>
      <c r="J1036" s="548"/>
      <c r="K1036" s="549"/>
      <c r="L1036" s="550"/>
      <c r="M1036" s="550"/>
      <c r="N1036" s="550"/>
      <c r="O1036" s="551"/>
      <c r="P1036" s="551"/>
    </row>
    <row r="1037" spans="1:16" ht="21.75" customHeight="1" x14ac:dyDescent="0.25">
      <c r="A1037" s="547"/>
      <c r="B1037" s="547"/>
      <c r="C1037" s="547"/>
      <c r="D1037" s="547"/>
      <c r="E1037" s="548"/>
      <c r="F1037" s="548"/>
      <c r="G1037" s="548"/>
      <c r="H1037" s="548"/>
      <c r="I1037" s="548"/>
      <c r="J1037" s="548"/>
      <c r="K1037" s="549"/>
      <c r="L1037" s="550"/>
      <c r="M1037" s="550"/>
      <c r="N1037" s="550"/>
      <c r="O1037" s="551"/>
      <c r="P1037" s="551"/>
    </row>
    <row r="1038" spans="1:16" ht="21.75" customHeight="1" x14ac:dyDescent="0.25">
      <c r="A1038" s="547"/>
      <c r="B1038" s="547"/>
      <c r="C1038" s="547"/>
      <c r="D1038" s="547"/>
      <c r="E1038" s="548"/>
      <c r="F1038" s="548"/>
      <c r="G1038" s="548"/>
      <c r="H1038" s="548"/>
      <c r="I1038" s="548"/>
      <c r="J1038" s="548"/>
      <c r="K1038" s="549"/>
      <c r="L1038" s="550"/>
      <c r="M1038" s="550"/>
      <c r="N1038" s="550"/>
      <c r="O1038" s="551"/>
      <c r="P1038" s="551"/>
    </row>
    <row r="1039" spans="1:16" ht="21.75" customHeight="1" x14ac:dyDescent="0.25">
      <c r="A1039" s="547"/>
      <c r="B1039" s="547"/>
      <c r="C1039" s="547"/>
      <c r="D1039" s="547"/>
      <c r="E1039" s="548"/>
      <c r="F1039" s="548"/>
      <c r="G1039" s="548"/>
      <c r="H1039" s="548"/>
      <c r="I1039" s="548"/>
      <c r="J1039" s="548"/>
      <c r="K1039" s="549"/>
      <c r="L1039" s="550"/>
      <c r="M1039" s="550"/>
      <c r="N1039" s="550"/>
      <c r="O1039" s="551"/>
      <c r="P1039" s="551"/>
    </row>
    <row r="1040" spans="1:16" ht="21.75" customHeight="1" x14ac:dyDescent="0.25">
      <c r="A1040" s="547"/>
      <c r="B1040" s="547"/>
      <c r="C1040" s="547"/>
      <c r="D1040" s="547"/>
      <c r="E1040" s="548"/>
      <c r="F1040" s="548"/>
      <c r="G1040" s="548"/>
      <c r="H1040" s="548"/>
      <c r="I1040" s="548"/>
      <c r="J1040" s="548"/>
      <c r="K1040" s="549"/>
      <c r="L1040" s="550"/>
      <c r="M1040" s="550"/>
      <c r="N1040" s="550"/>
      <c r="O1040" s="551"/>
      <c r="P1040" s="551"/>
    </row>
    <row r="1041" spans="1:16" ht="21.75" customHeight="1" x14ac:dyDescent="0.25">
      <c r="A1041" s="547"/>
      <c r="B1041" s="547"/>
      <c r="C1041" s="547"/>
      <c r="D1041" s="547"/>
      <c r="E1041" s="548"/>
      <c r="F1041" s="548"/>
      <c r="G1041" s="548"/>
      <c r="H1041" s="548"/>
      <c r="I1041" s="548"/>
      <c r="J1041" s="548"/>
      <c r="K1041" s="549"/>
      <c r="L1041" s="550"/>
      <c r="M1041" s="550"/>
      <c r="N1041" s="550"/>
      <c r="O1041" s="551"/>
      <c r="P1041" s="551"/>
    </row>
    <row r="1042" spans="1:16" ht="21.75" customHeight="1" x14ac:dyDescent="0.25">
      <c r="A1042" s="547"/>
      <c r="B1042" s="547"/>
      <c r="C1042" s="547"/>
      <c r="D1042" s="547"/>
      <c r="E1042" s="548"/>
      <c r="F1042" s="548"/>
      <c r="G1042" s="548"/>
      <c r="H1042" s="548"/>
      <c r="I1042" s="548"/>
      <c r="J1042" s="548"/>
      <c r="K1042" s="549"/>
      <c r="L1042" s="550"/>
      <c r="M1042" s="550"/>
      <c r="N1042" s="550"/>
      <c r="O1042" s="551"/>
      <c r="P1042" s="551"/>
    </row>
    <row r="1043" spans="1:16" ht="21.75" customHeight="1" x14ac:dyDescent="0.25">
      <c r="A1043" s="547"/>
      <c r="B1043" s="547"/>
      <c r="C1043" s="547"/>
      <c r="D1043" s="547"/>
      <c r="E1043" s="548"/>
      <c r="F1043" s="548"/>
      <c r="G1043" s="548"/>
      <c r="H1043" s="548"/>
      <c r="I1043" s="548"/>
      <c r="J1043" s="548"/>
      <c r="K1043" s="549"/>
      <c r="L1043" s="550"/>
      <c r="M1043" s="550"/>
      <c r="N1043" s="550"/>
      <c r="O1043" s="551"/>
      <c r="P1043" s="551"/>
    </row>
    <row r="1044" spans="1:16" ht="21.75" customHeight="1" x14ac:dyDescent="0.25">
      <c r="A1044" s="547"/>
      <c r="B1044" s="547"/>
      <c r="C1044" s="547"/>
      <c r="D1044" s="547"/>
      <c r="E1044" s="548"/>
      <c r="F1044" s="548"/>
      <c r="G1044" s="548"/>
      <c r="H1044" s="548"/>
      <c r="I1044" s="548"/>
      <c r="J1044" s="548"/>
      <c r="K1044" s="549"/>
      <c r="L1044" s="550"/>
      <c r="M1044" s="550"/>
      <c r="N1044" s="550"/>
      <c r="O1044" s="551"/>
      <c r="P1044" s="551"/>
    </row>
    <row r="1045" spans="1:16" ht="21.75" customHeight="1" x14ac:dyDescent="0.25">
      <c r="A1045" s="547"/>
      <c r="B1045" s="547"/>
      <c r="C1045" s="547"/>
      <c r="D1045" s="547"/>
      <c r="E1045" s="548"/>
      <c r="F1045" s="548"/>
      <c r="G1045" s="548"/>
      <c r="H1045" s="548"/>
      <c r="I1045" s="548"/>
      <c r="J1045" s="548"/>
      <c r="K1045" s="549"/>
      <c r="L1045" s="550"/>
      <c r="M1045" s="550"/>
      <c r="N1045" s="550"/>
      <c r="O1045" s="551"/>
      <c r="P1045" s="551"/>
    </row>
    <row r="1046" spans="1:16" ht="21.75" customHeight="1" x14ac:dyDescent="0.25">
      <c r="A1046" s="547"/>
      <c r="B1046" s="547"/>
      <c r="C1046" s="547"/>
      <c r="D1046" s="547"/>
      <c r="E1046" s="548"/>
      <c r="F1046" s="548"/>
      <c r="G1046" s="548"/>
      <c r="H1046" s="548"/>
      <c r="I1046" s="548"/>
      <c r="J1046" s="548"/>
      <c r="K1046" s="549"/>
      <c r="L1046" s="550"/>
      <c r="M1046" s="550"/>
      <c r="N1046" s="550"/>
      <c r="O1046" s="551"/>
      <c r="P1046" s="551"/>
    </row>
    <row r="1047" spans="1:16" ht="21.75" customHeight="1" x14ac:dyDescent="0.25">
      <c r="A1047" s="547"/>
      <c r="B1047" s="547"/>
      <c r="C1047" s="547"/>
      <c r="D1047" s="547"/>
      <c r="E1047" s="548"/>
      <c r="F1047" s="548"/>
      <c r="G1047" s="548"/>
      <c r="H1047" s="548"/>
      <c r="I1047" s="548"/>
      <c r="J1047" s="548"/>
      <c r="K1047" s="549"/>
      <c r="L1047" s="550"/>
      <c r="M1047" s="550"/>
      <c r="N1047" s="550"/>
      <c r="O1047" s="551"/>
      <c r="P1047" s="551"/>
    </row>
    <row r="1048" spans="1:16" ht="21.75" customHeight="1" x14ac:dyDescent="0.25">
      <c r="A1048" s="547"/>
      <c r="B1048" s="547"/>
      <c r="C1048" s="547"/>
      <c r="D1048" s="547"/>
      <c r="E1048" s="548"/>
      <c r="F1048" s="548"/>
      <c r="G1048" s="548"/>
      <c r="H1048" s="548"/>
      <c r="I1048" s="548"/>
      <c r="J1048" s="548"/>
      <c r="K1048" s="549"/>
      <c r="L1048" s="550"/>
      <c r="M1048" s="550"/>
      <c r="N1048" s="550"/>
      <c r="O1048" s="551"/>
      <c r="P1048" s="551"/>
    </row>
    <row r="1049" spans="1:16" ht="21.75" customHeight="1" x14ac:dyDescent="0.25">
      <c r="A1049" s="547"/>
      <c r="B1049" s="547"/>
      <c r="C1049" s="547"/>
      <c r="D1049" s="547"/>
      <c r="E1049" s="548"/>
      <c r="F1049" s="548"/>
      <c r="G1049" s="548"/>
      <c r="H1049" s="548"/>
      <c r="I1049" s="548"/>
      <c r="J1049" s="548"/>
      <c r="K1049" s="549"/>
      <c r="L1049" s="550"/>
      <c r="M1049" s="550"/>
      <c r="N1049" s="550"/>
      <c r="O1049" s="551"/>
      <c r="P1049" s="551"/>
    </row>
    <row r="1050" spans="1:16" ht="21.75" customHeight="1" x14ac:dyDescent="0.25">
      <c r="A1050" s="547"/>
      <c r="B1050" s="547"/>
      <c r="C1050" s="547"/>
      <c r="D1050" s="547"/>
      <c r="E1050" s="548"/>
      <c r="F1050" s="548"/>
      <c r="G1050" s="548"/>
      <c r="H1050" s="548"/>
      <c r="I1050" s="548"/>
      <c r="J1050" s="548"/>
      <c r="K1050" s="549"/>
      <c r="L1050" s="550"/>
      <c r="M1050" s="550"/>
      <c r="N1050" s="550"/>
      <c r="O1050" s="551"/>
      <c r="P1050" s="551"/>
    </row>
    <row r="1051" spans="1:16" ht="21.75" customHeight="1" x14ac:dyDescent="0.25">
      <c r="A1051" s="547"/>
      <c r="B1051" s="547"/>
      <c r="C1051" s="547"/>
      <c r="D1051" s="547"/>
      <c r="E1051" s="548"/>
      <c r="F1051" s="548"/>
      <c r="G1051" s="548"/>
      <c r="H1051" s="548"/>
      <c r="I1051" s="548"/>
      <c r="J1051" s="548"/>
      <c r="K1051" s="549"/>
      <c r="L1051" s="550"/>
      <c r="M1051" s="550"/>
      <c r="N1051" s="550"/>
      <c r="O1051" s="551"/>
      <c r="P1051" s="551"/>
    </row>
    <row r="1052" spans="1:16" ht="21.75" customHeight="1" x14ac:dyDescent="0.25">
      <c r="A1052" s="547"/>
      <c r="B1052" s="547"/>
      <c r="C1052" s="547"/>
      <c r="D1052" s="547"/>
      <c r="E1052" s="548"/>
      <c r="F1052" s="548"/>
      <c r="G1052" s="548"/>
      <c r="H1052" s="548"/>
      <c r="I1052" s="548"/>
      <c r="J1052" s="548"/>
      <c r="K1052" s="549"/>
      <c r="L1052" s="550"/>
      <c r="M1052" s="550"/>
      <c r="N1052" s="550"/>
      <c r="O1052" s="551"/>
      <c r="P1052" s="551"/>
    </row>
    <row r="1053" spans="1:16" ht="21.75" customHeight="1" x14ac:dyDescent="0.25">
      <c r="A1053" s="547"/>
      <c r="B1053" s="547"/>
      <c r="C1053" s="547"/>
      <c r="D1053" s="547"/>
      <c r="E1053" s="548"/>
      <c r="F1053" s="548"/>
      <c r="G1053" s="548"/>
      <c r="H1053" s="548"/>
      <c r="I1053" s="548"/>
      <c r="J1053" s="548"/>
      <c r="K1053" s="549"/>
      <c r="L1053" s="550"/>
      <c r="M1053" s="550"/>
      <c r="N1053" s="550"/>
      <c r="O1053" s="551"/>
      <c r="P1053" s="551"/>
    </row>
    <row r="1054" spans="1:16" ht="21.75" customHeight="1" x14ac:dyDescent="0.25">
      <c r="A1054" s="547"/>
      <c r="B1054" s="547"/>
      <c r="C1054" s="547"/>
      <c r="D1054" s="547"/>
      <c r="E1054" s="548"/>
      <c r="F1054" s="548"/>
      <c r="G1054" s="548"/>
      <c r="H1054" s="548"/>
      <c r="I1054" s="548"/>
      <c r="J1054" s="548"/>
      <c r="K1054" s="549"/>
      <c r="L1054" s="550"/>
      <c r="M1054" s="550"/>
      <c r="N1054" s="550"/>
      <c r="O1054" s="551"/>
      <c r="P1054" s="551"/>
    </row>
    <row r="1055" spans="1:16" ht="21.75" customHeight="1" x14ac:dyDescent="0.25">
      <c r="A1055" s="547"/>
      <c r="B1055" s="547"/>
      <c r="C1055" s="547"/>
      <c r="D1055" s="547"/>
      <c r="E1055" s="548"/>
      <c r="F1055" s="548"/>
      <c r="G1055" s="548"/>
      <c r="H1055" s="548"/>
      <c r="I1055" s="548"/>
      <c r="J1055" s="548"/>
      <c r="K1055" s="549"/>
      <c r="L1055" s="550"/>
      <c r="M1055" s="550"/>
      <c r="N1055" s="550"/>
      <c r="O1055" s="551"/>
      <c r="P1055" s="551"/>
    </row>
    <row r="1056" spans="1:16" ht="21.75" customHeight="1" x14ac:dyDescent="0.25">
      <c r="A1056" s="547"/>
      <c r="B1056" s="547"/>
      <c r="C1056" s="547"/>
      <c r="D1056" s="547"/>
      <c r="E1056" s="548"/>
      <c r="F1056" s="548"/>
      <c r="G1056" s="548"/>
      <c r="H1056" s="548"/>
      <c r="I1056" s="548"/>
      <c r="J1056" s="548"/>
      <c r="K1056" s="549"/>
      <c r="L1056" s="550"/>
      <c r="M1056" s="550"/>
      <c r="N1056" s="550"/>
      <c r="O1056" s="551"/>
      <c r="P1056" s="551"/>
    </row>
    <row r="1057" spans="1:16" ht="21.75" customHeight="1" x14ac:dyDescent="0.25">
      <c r="A1057" s="547"/>
      <c r="B1057" s="547"/>
      <c r="C1057" s="547"/>
      <c r="D1057" s="547"/>
      <c r="E1057" s="548"/>
      <c r="F1057" s="548"/>
      <c r="G1057" s="548"/>
      <c r="H1057" s="548"/>
      <c r="I1057" s="548"/>
      <c r="J1057" s="548"/>
      <c r="K1057" s="549"/>
      <c r="L1057" s="550"/>
      <c r="M1057" s="550"/>
      <c r="N1057" s="550"/>
      <c r="O1057" s="551"/>
      <c r="P1057" s="551"/>
    </row>
    <row r="1058" spans="1:16" ht="21.75" customHeight="1" x14ac:dyDescent="0.25">
      <c r="A1058" s="547"/>
      <c r="B1058" s="547"/>
      <c r="C1058" s="547"/>
      <c r="D1058" s="547"/>
      <c r="E1058" s="548"/>
      <c r="F1058" s="548"/>
      <c r="G1058" s="548"/>
      <c r="H1058" s="548"/>
      <c r="I1058" s="548"/>
      <c r="J1058" s="548"/>
      <c r="K1058" s="549"/>
      <c r="L1058" s="550"/>
      <c r="M1058" s="550"/>
      <c r="N1058" s="550"/>
      <c r="O1058" s="551"/>
      <c r="P1058" s="551"/>
    </row>
    <row r="1059" spans="1:16" ht="21.75" customHeight="1" x14ac:dyDescent="0.25">
      <c r="A1059" s="547"/>
      <c r="B1059" s="547"/>
      <c r="C1059" s="547"/>
      <c r="D1059" s="547"/>
      <c r="E1059" s="548"/>
      <c r="F1059" s="548"/>
      <c r="G1059" s="548"/>
      <c r="H1059" s="548"/>
      <c r="I1059" s="548"/>
      <c r="J1059" s="548"/>
      <c r="K1059" s="549"/>
      <c r="L1059" s="550"/>
      <c r="M1059" s="550"/>
      <c r="N1059" s="550"/>
      <c r="O1059" s="551"/>
      <c r="P1059" s="551"/>
    </row>
    <row r="1060" spans="1:16" ht="21.75" customHeight="1" x14ac:dyDescent="0.25">
      <c r="A1060" s="547"/>
      <c r="B1060" s="547"/>
      <c r="C1060" s="547"/>
      <c r="D1060" s="547"/>
      <c r="E1060" s="548"/>
      <c r="F1060" s="548"/>
      <c r="G1060" s="548"/>
      <c r="H1060" s="548"/>
      <c r="I1060" s="548"/>
      <c r="J1060" s="548"/>
      <c r="K1060" s="549"/>
      <c r="L1060" s="550"/>
      <c r="M1060" s="550"/>
      <c r="N1060" s="550"/>
      <c r="O1060" s="551"/>
      <c r="P1060" s="551"/>
    </row>
    <row r="1061" spans="1:16" ht="21.75" customHeight="1" x14ac:dyDescent="0.25">
      <c r="A1061" s="547"/>
      <c r="B1061" s="547"/>
      <c r="C1061" s="547"/>
      <c r="D1061" s="547"/>
      <c r="E1061" s="548"/>
      <c r="F1061" s="548"/>
      <c r="G1061" s="548"/>
      <c r="H1061" s="548"/>
      <c r="I1061" s="548"/>
      <c r="J1061" s="548"/>
      <c r="K1061" s="549"/>
      <c r="L1061" s="550"/>
      <c r="M1061" s="550"/>
      <c r="N1061" s="550"/>
      <c r="O1061" s="551"/>
      <c r="P1061" s="551"/>
    </row>
    <row r="1062" spans="1:16" ht="21.75" customHeight="1" x14ac:dyDescent="0.25">
      <c r="A1062" s="547"/>
      <c r="B1062" s="547"/>
      <c r="C1062" s="547"/>
      <c r="D1062" s="547"/>
      <c r="E1062" s="548"/>
      <c r="F1062" s="548"/>
      <c r="G1062" s="548"/>
      <c r="H1062" s="548"/>
      <c r="I1062" s="548"/>
      <c r="J1062" s="548"/>
      <c r="K1062" s="549"/>
      <c r="L1062" s="550"/>
      <c r="M1062" s="550"/>
      <c r="N1062" s="550"/>
      <c r="O1062" s="551"/>
      <c r="P1062" s="551"/>
    </row>
    <row r="1063" spans="1:16" ht="21.75" customHeight="1" x14ac:dyDescent="0.25">
      <c r="A1063" s="547"/>
      <c r="B1063" s="547"/>
      <c r="C1063" s="547"/>
      <c r="D1063" s="547"/>
      <c r="E1063" s="548"/>
      <c r="F1063" s="548"/>
      <c r="G1063" s="548"/>
      <c r="H1063" s="548"/>
      <c r="I1063" s="548"/>
      <c r="J1063" s="548"/>
      <c r="K1063" s="549"/>
      <c r="L1063" s="550"/>
      <c r="M1063" s="550"/>
      <c r="N1063" s="550"/>
      <c r="O1063" s="551"/>
      <c r="P1063" s="551"/>
    </row>
    <row r="1064" spans="1:16" ht="21.75" customHeight="1" x14ac:dyDescent="0.25">
      <c r="A1064" s="547"/>
      <c r="B1064" s="547"/>
      <c r="C1064" s="547"/>
      <c r="D1064" s="547"/>
      <c r="E1064" s="548"/>
      <c r="F1064" s="548"/>
      <c r="G1064" s="548"/>
      <c r="H1064" s="548"/>
      <c r="I1064" s="548"/>
      <c r="J1064" s="548"/>
      <c r="K1064" s="549"/>
      <c r="L1064" s="550"/>
      <c r="M1064" s="550"/>
      <c r="N1064" s="550"/>
      <c r="O1064" s="551"/>
      <c r="P1064" s="551"/>
    </row>
    <row r="1065" spans="1:16" ht="21.75" customHeight="1" x14ac:dyDescent="0.25">
      <c r="A1065" s="547"/>
      <c r="B1065" s="547"/>
      <c r="C1065" s="547"/>
      <c r="D1065" s="547"/>
      <c r="E1065" s="548"/>
      <c r="F1065" s="548"/>
      <c r="G1065" s="548"/>
      <c r="H1065" s="548"/>
      <c r="I1065" s="548"/>
      <c r="J1065" s="548"/>
      <c r="K1065" s="549"/>
      <c r="L1065" s="550"/>
      <c r="M1065" s="550"/>
      <c r="N1065" s="550"/>
      <c r="O1065" s="551"/>
      <c r="P1065" s="551"/>
    </row>
    <row r="1066" spans="1:16" ht="21.75" customHeight="1" x14ac:dyDescent="0.25">
      <c r="A1066" s="547"/>
      <c r="B1066" s="547"/>
      <c r="C1066" s="547"/>
      <c r="D1066" s="547"/>
      <c r="E1066" s="548"/>
      <c r="F1066" s="548"/>
      <c r="G1066" s="548"/>
      <c r="H1066" s="548"/>
      <c r="I1066" s="548"/>
      <c r="J1066" s="548"/>
      <c r="K1066" s="549"/>
      <c r="L1066" s="550"/>
      <c r="M1066" s="550"/>
      <c r="N1066" s="550"/>
      <c r="O1066" s="551"/>
      <c r="P1066" s="551"/>
    </row>
    <row r="1067" spans="1:16" ht="21.75" customHeight="1" x14ac:dyDescent="0.25">
      <c r="A1067" s="547"/>
      <c r="B1067" s="547"/>
      <c r="C1067" s="547"/>
      <c r="D1067" s="547"/>
      <c r="E1067" s="548"/>
      <c r="F1067" s="548"/>
      <c r="G1067" s="548"/>
      <c r="H1067" s="548"/>
      <c r="I1067" s="548"/>
      <c r="J1067" s="548"/>
      <c r="K1067" s="549"/>
      <c r="L1067" s="550"/>
      <c r="M1067" s="550"/>
      <c r="N1067" s="550"/>
      <c r="O1067" s="551"/>
      <c r="P1067" s="551"/>
    </row>
    <row r="1068" spans="1:16" ht="21.75" customHeight="1" x14ac:dyDescent="0.25">
      <c r="A1068" s="547"/>
      <c r="B1068" s="547"/>
      <c r="C1068" s="547"/>
      <c r="D1068" s="547"/>
      <c r="E1068" s="548"/>
      <c r="F1068" s="548"/>
      <c r="G1068" s="548"/>
      <c r="H1068" s="548"/>
      <c r="I1068" s="548"/>
      <c r="J1068" s="548"/>
      <c r="K1068" s="549"/>
      <c r="L1068" s="550"/>
      <c r="M1068" s="550"/>
      <c r="N1068" s="550"/>
      <c r="O1068" s="551"/>
      <c r="P1068" s="551"/>
    </row>
    <row r="1069" spans="1:16" ht="21.75" customHeight="1" x14ac:dyDescent="0.25">
      <c r="A1069" s="547"/>
      <c r="B1069" s="547"/>
      <c r="C1069" s="547"/>
      <c r="D1069" s="547"/>
      <c r="E1069" s="548"/>
      <c r="F1069" s="548"/>
      <c r="G1069" s="548"/>
      <c r="H1069" s="548"/>
      <c r="I1069" s="548"/>
      <c r="J1069" s="548"/>
      <c r="K1069" s="549"/>
      <c r="L1069" s="550"/>
      <c r="M1069" s="550"/>
      <c r="N1069" s="550"/>
      <c r="O1069" s="551"/>
      <c r="P1069" s="551"/>
    </row>
    <row r="1070" spans="1:16" ht="21.75" customHeight="1" x14ac:dyDescent="0.25">
      <c r="A1070" s="547"/>
      <c r="B1070" s="547"/>
      <c r="C1070" s="547"/>
      <c r="D1070" s="547"/>
      <c r="E1070" s="548"/>
      <c r="F1070" s="548"/>
      <c r="G1070" s="548"/>
      <c r="H1070" s="548"/>
      <c r="I1070" s="548"/>
      <c r="J1070" s="548"/>
      <c r="K1070" s="549"/>
      <c r="L1070" s="550"/>
      <c r="M1070" s="550"/>
      <c r="N1070" s="550"/>
      <c r="O1070" s="551"/>
      <c r="P1070" s="551"/>
    </row>
    <row r="1071" spans="1:16" ht="21.75" customHeight="1" x14ac:dyDescent="0.25">
      <c r="A1071" s="547"/>
      <c r="B1071" s="547"/>
      <c r="C1071" s="547"/>
      <c r="D1071" s="547"/>
      <c r="E1071" s="548"/>
      <c r="F1071" s="548"/>
      <c r="G1071" s="548"/>
      <c r="H1071" s="548"/>
      <c r="I1071" s="548"/>
      <c r="J1071" s="548"/>
      <c r="K1071" s="549"/>
      <c r="L1071" s="550"/>
      <c r="M1071" s="550"/>
      <c r="N1071" s="550"/>
      <c r="O1071" s="551"/>
      <c r="P1071" s="551"/>
    </row>
    <row r="1072" spans="1:16" ht="21.75" customHeight="1" x14ac:dyDescent="0.25">
      <c r="A1072" s="547"/>
      <c r="B1072" s="547"/>
      <c r="C1072" s="547"/>
      <c r="D1072" s="547"/>
      <c r="E1072" s="548"/>
      <c r="F1072" s="548"/>
      <c r="G1072" s="548"/>
      <c r="H1072" s="548"/>
      <c r="I1072" s="548"/>
      <c r="J1072" s="548"/>
      <c r="K1072" s="549"/>
      <c r="L1072" s="550"/>
      <c r="M1072" s="550"/>
      <c r="N1072" s="550"/>
      <c r="O1072" s="551"/>
      <c r="P1072" s="551"/>
    </row>
    <row r="1073" spans="1:16" ht="21.75" customHeight="1" x14ac:dyDescent="0.25">
      <c r="A1073" s="547"/>
      <c r="B1073" s="547"/>
      <c r="C1073" s="547"/>
      <c r="D1073" s="547"/>
      <c r="E1073" s="548"/>
      <c r="F1073" s="548"/>
      <c r="G1073" s="548"/>
      <c r="H1073" s="548"/>
      <c r="I1073" s="548"/>
      <c r="J1073" s="548"/>
      <c r="K1073" s="549"/>
      <c r="L1073" s="550"/>
      <c r="M1073" s="550"/>
      <c r="N1073" s="550"/>
      <c r="O1073" s="551"/>
      <c r="P1073" s="551"/>
    </row>
    <row r="1074" spans="1:16" ht="21.75" customHeight="1" x14ac:dyDescent="0.25">
      <c r="A1074" s="547"/>
      <c r="B1074" s="547"/>
      <c r="C1074" s="547"/>
      <c r="D1074" s="547"/>
      <c r="E1074" s="548"/>
      <c r="F1074" s="548"/>
      <c r="G1074" s="548"/>
      <c r="H1074" s="548"/>
      <c r="I1074" s="548"/>
      <c r="J1074" s="548"/>
      <c r="K1074" s="549"/>
      <c r="L1074" s="550"/>
      <c r="M1074" s="550"/>
      <c r="N1074" s="550"/>
      <c r="O1074" s="551"/>
      <c r="P1074" s="551"/>
    </row>
    <row r="1075" spans="1:16" ht="21.75" customHeight="1" x14ac:dyDescent="0.25">
      <c r="A1075" s="547"/>
      <c r="B1075" s="547"/>
      <c r="C1075" s="547"/>
      <c r="D1075" s="547"/>
      <c r="E1075" s="548"/>
      <c r="F1075" s="548"/>
      <c r="G1075" s="548"/>
      <c r="H1075" s="548"/>
      <c r="I1075" s="548"/>
      <c r="J1075" s="548"/>
      <c r="K1075" s="549"/>
      <c r="L1075" s="550"/>
      <c r="M1075" s="550"/>
      <c r="N1075" s="550"/>
      <c r="O1075" s="551"/>
      <c r="P1075" s="551"/>
    </row>
    <row r="1076" spans="1:16" ht="21.75" customHeight="1" x14ac:dyDescent="0.25">
      <c r="A1076" s="547"/>
      <c r="B1076" s="547"/>
      <c r="C1076" s="547"/>
      <c r="D1076" s="547"/>
      <c r="E1076" s="548"/>
      <c r="F1076" s="548"/>
      <c r="G1076" s="548"/>
      <c r="H1076" s="548"/>
      <c r="I1076" s="548"/>
      <c r="J1076" s="548"/>
      <c r="K1076" s="549"/>
      <c r="L1076" s="550"/>
      <c r="M1076" s="550"/>
      <c r="N1076" s="550"/>
      <c r="O1076" s="551"/>
      <c r="P1076" s="551"/>
    </row>
    <row r="1077" spans="1:16" ht="21.75" customHeight="1" x14ac:dyDescent="0.25">
      <c r="A1077" s="547"/>
      <c r="B1077" s="547"/>
      <c r="C1077" s="547"/>
      <c r="D1077" s="547"/>
      <c r="E1077" s="548"/>
      <c r="F1077" s="548"/>
      <c r="G1077" s="548"/>
      <c r="H1077" s="548"/>
      <c r="I1077" s="548"/>
      <c r="J1077" s="548"/>
      <c r="K1077" s="549"/>
      <c r="L1077" s="550"/>
      <c r="M1077" s="550"/>
      <c r="N1077" s="550"/>
      <c r="O1077" s="551"/>
      <c r="P1077" s="551"/>
    </row>
    <row r="1078" spans="1:16" ht="21.75" customHeight="1" x14ac:dyDescent="0.25">
      <c r="A1078" s="547"/>
      <c r="B1078" s="547"/>
      <c r="C1078" s="547"/>
      <c r="D1078" s="547"/>
      <c r="E1078" s="548"/>
      <c r="F1078" s="548"/>
      <c r="G1078" s="548"/>
      <c r="H1078" s="548"/>
      <c r="I1078" s="548"/>
      <c r="J1078" s="548"/>
      <c r="K1078" s="549"/>
      <c r="L1078" s="550"/>
      <c r="M1078" s="550"/>
      <c r="N1078" s="550"/>
      <c r="O1078" s="551"/>
      <c r="P1078" s="551"/>
    </row>
    <row r="1079" spans="1:16" ht="21.75" customHeight="1" x14ac:dyDescent="0.25">
      <c r="A1079" s="547"/>
      <c r="B1079" s="547"/>
      <c r="C1079" s="547"/>
      <c r="D1079" s="547"/>
      <c r="E1079" s="548"/>
      <c r="F1079" s="548"/>
      <c r="G1079" s="548"/>
      <c r="H1079" s="548"/>
      <c r="I1079" s="548"/>
      <c r="J1079" s="548"/>
      <c r="K1079" s="549"/>
      <c r="L1079" s="550"/>
      <c r="M1079" s="550"/>
      <c r="N1079" s="550"/>
      <c r="O1079" s="551"/>
      <c r="P1079" s="551"/>
    </row>
    <row r="1080" spans="1:16" ht="21.75" customHeight="1" x14ac:dyDescent="0.25">
      <c r="A1080" s="547"/>
      <c r="B1080" s="547"/>
      <c r="C1080" s="547"/>
      <c r="D1080" s="547"/>
      <c r="E1080" s="548"/>
      <c r="F1080" s="548"/>
      <c r="G1080" s="548"/>
      <c r="H1080" s="548"/>
      <c r="I1080" s="548"/>
      <c r="J1080" s="548"/>
      <c r="K1080" s="549"/>
      <c r="L1080" s="550"/>
      <c r="M1080" s="550"/>
      <c r="N1080" s="550"/>
      <c r="O1080" s="551"/>
      <c r="P1080" s="551"/>
    </row>
    <row r="1081" spans="1:16" ht="21.75" customHeight="1" x14ac:dyDescent="0.25">
      <c r="A1081" s="547"/>
      <c r="B1081" s="547"/>
      <c r="C1081" s="547"/>
      <c r="D1081" s="547"/>
      <c r="E1081" s="548"/>
      <c r="F1081" s="548"/>
      <c r="G1081" s="548"/>
      <c r="H1081" s="548"/>
      <c r="I1081" s="548"/>
      <c r="J1081" s="548"/>
      <c r="K1081" s="549"/>
      <c r="L1081" s="550"/>
      <c r="M1081" s="550"/>
      <c r="N1081" s="550"/>
      <c r="O1081" s="551"/>
      <c r="P1081" s="551"/>
    </row>
    <row r="1082" spans="1:16" ht="21.75" customHeight="1" x14ac:dyDescent="0.25">
      <c r="A1082" s="547"/>
      <c r="B1082" s="547"/>
      <c r="C1082" s="547"/>
      <c r="D1082" s="547"/>
      <c r="E1082" s="548"/>
      <c r="F1082" s="548"/>
      <c r="G1082" s="548"/>
      <c r="H1082" s="548"/>
      <c r="I1082" s="548"/>
      <c r="J1082" s="548"/>
      <c r="K1082" s="549"/>
      <c r="L1082" s="550"/>
      <c r="M1082" s="550"/>
      <c r="N1082" s="550"/>
      <c r="O1082" s="551"/>
      <c r="P1082" s="551"/>
    </row>
    <row r="1083" spans="1:16" ht="21.75" customHeight="1" x14ac:dyDescent="0.25">
      <c r="A1083" s="547"/>
      <c r="B1083" s="547"/>
      <c r="C1083" s="547"/>
      <c r="D1083" s="547"/>
      <c r="E1083" s="548"/>
      <c r="F1083" s="548"/>
      <c r="G1083" s="548"/>
      <c r="H1083" s="548"/>
      <c r="I1083" s="548"/>
      <c r="J1083" s="548"/>
      <c r="K1083" s="549"/>
      <c r="L1083" s="550"/>
      <c r="M1083" s="550"/>
      <c r="N1083" s="550"/>
      <c r="O1083" s="551"/>
      <c r="P1083" s="551"/>
    </row>
    <row r="1084" spans="1:16" ht="21.75" customHeight="1" x14ac:dyDescent="0.25">
      <c r="A1084" s="547"/>
      <c r="B1084" s="547"/>
      <c r="C1084" s="547"/>
      <c r="D1084" s="547"/>
      <c r="E1084" s="548"/>
      <c r="F1084" s="548"/>
      <c r="G1084" s="548"/>
      <c r="H1084" s="548"/>
      <c r="I1084" s="548"/>
      <c r="J1084" s="548"/>
      <c r="K1084" s="549"/>
      <c r="L1084" s="550"/>
      <c r="M1084" s="550"/>
      <c r="N1084" s="550"/>
      <c r="O1084" s="551"/>
      <c r="P1084" s="551"/>
    </row>
    <row r="1085" spans="1:16" ht="21.75" customHeight="1" x14ac:dyDescent="0.25">
      <c r="A1085" s="547"/>
      <c r="B1085" s="547"/>
      <c r="C1085" s="547"/>
      <c r="D1085" s="547"/>
      <c r="E1085" s="548"/>
      <c r="F1085" s="548"/>
      <c r="G1085" s="548"/>
      <c r="H1085" s="548"/>
      <c r="I1085" s="548"/>
      <c r="J1085" s="548"/>
      <c r="K1085" s="549"/>
      <c r="L1085" s="550"/>
      <c r="M1085" s="550"/>
      <c r="N1085" s="550"/>
      <c r="O1085" s="551"/>
      <c r="P1085" s="551"/>
    </row>
    <row r="1086" spans="1:16" ht="21.75" customHeight="1" x14ac:dyDescent="0.25">
      <c r="A1086" s="547"/>
      <c r="B1086" s="547"/>
      <c r="C1086" s="547"/>
      <c r="D1086" s="547"/>
      <c r="E1086" s="548"/>
      <c r="F1086" s="548"/>
      <c r="G1086" s="548"/>
      <c r="H1086" s="548"/>
      <c r="I1086" s="548"/>
      <c r="J1086" s="548"/>
      <c r="K1086" s="549"/>
      <c r="L1086" s="550"/>
      <c r="M1086" s="550"/>
      <c r="N1086" s="550"/>
      <c r="O1086" s="551"/>
      <c r="P1086" s="551"/>
    </row>
    <row r="1087" spans="1:16" ht="21.75" customHeight="1" x14ac:dyDescent="0.25">
      <c r="A1087" s="547"/>
      <c r="B1087" s="547"/>
      <c r="C1087" s="547"/>
      <c r="D1087" s="547"/>
      <c r="E1087" s="548"/>
      <c r="F1087" s="548"/>
      <c r="G1087" s="548"/>
      <c r="H1087" s="548"/>
      <c r="I1087" s="548"/>
      <c r="J1087" s="548"/>
      <c r="K1087" s="549"/>
      <c r="L1087" s="550"/>
      <c r="M1087" s="550"/>
      <c r="N1087" s="550"/>
      <c r="O1087" s="551"/>
      <c r="P1087" s="551"/>
    </row>
    <row r="1088" spans="1:16" ht="21.75" customHeight="1" x14ac:dyDescent="0.25">
      <c r="A1088" s="547"/>
      <c r="B1088" s="547"/>
      <c r="C1088" s="547"/>
      <c r="D1088" s="547"/>
      <c r="E1088" s="548"/>
      <c r="F1088" s="548"/>
      <c r="G1088" s="548"/>
      <c r="H1088" s="548"/>
      <c r="I1088" s="548"/>
      <c r="J1088" s="548"/>
      <c r="K1088" s="549"/>
      <c r="L1088" s="550"/>
      <c r="M1088" s="550"/>
      <c r="N1088" s="550"/>
      <c r="O1088" s="551"/>
      <c r="P1088" s="551"/>
    </row>
    <row r="1089" spans="1:16" ht="21.75" customHeight="1" x14ac:dyDescent="0.25">
      <c r="A1089" s="547"/>
      <c r="B1089" s="547"/>
      <c r="C1089" s="547"/>
      <c r="D1089" s="547"/>
      <c r="E1089" s="548"/>
      <c r="F1089" s="548"/>
      <c r="G1089" s="548"/>
      <c r="H1089" s="548"/>
      <c r="I1089" s="548"/>
      <c r="J1089" s="548"/>
      <c r="K1089" s="549"/>
      <c r="L1089" s="550"/>
      <c r="M1089" s="550"/>
      <c r="N1089" s="550"/>
      <c r="O1089" s="551"/>
      <c r="P1089" s="551"/>
    </row>
    <row r="1090" spans="1:16" ht="21.75" customHeight="1" x14ac:dyDescent="0.25">
      <c r="A1090" s="547"/>
      <c r="B1090" s="547"/>
      <c r="C1090" s="547"/>
      <c r="D1090" s="547"/>
      <c r="E1090" s="548"/>
      <c r="F1090" s="548"/>
      <c r="G1090" s="548"/>
      <c r="H1090" s="548"/>
      <c r="I1090" s="548"/>
      <c r="J1090" s="548"/>
      <c r="K1090" s="549"/>
      <c r="L1090" s="550"/>
      <c r="M1090" s="550"/>
      <c r="N1090" s="550"/>
      <c r="O1090" s="551"/>
      <c r="P1090" s="551"/>
    </row>
    <row r="1091" spans="1:16" ht="21.75" customHeight="1" x14ac:dyDescent="0.25">
      <c r="A1091" s="547"/>
      <c r="B1091" s="547"/>
      <c r="C1091" s="547"/>
      <c r="D1091" s="547"/>
      <c r="E1091" s="548"/>
      <c r="F1091" s="548"/>
      <c r="G1091" s="548"/>
      <c r="H1091" s="548"/>
      <c r="I1091" s="548"/>
      <c r="J1091" s="548"/>
      <c r="K1091" s="549"/>
      <c r="L1091" s="550"/>
      <c r="M1091" s="550"/>
      <c r="N1091" s="550"/>
      <c r="O1091" s="551"/>
      <c r="P1091" s="551"/>
    </row>
    <row r="1092" spans="1:16" ht="21.75" customHeight="1" x14ac:dyDescent="0.25">
      <c r="A1092" s="547"/>
      <c r="B1092" s="547"/>
      <c r="C1092" s="547"/>
      <c r="D1092" s="547"/>
      <c r="E1092" s="548"/>
      <c r="F1092" s="548"/>
      <c r="G1092" s="548"/>
      <c r="H1092" s="548"/>
      <c r="I1092" s="548"/>
      <c r="J1092" s="548"/>
      <c r="K1092" s="549"/>
      <c r="L1092" s="550"/>
      <c r="M1092" s="550"/>
      <c r="N1092" s="550"/>
      <c r="O1092" s="551"/>
      <c r="P1092" s="551"/>
    </row>
    <row r="1093" spans="1:16" ht="21.75" customHeight="1" x14ac:dyDescent="0.25">
      <c r="A1093" s="547"/>
      <c r="B1093" s="547"/>
      <c r="C1093" s="547"/>
      <c r="D1093" s="547"/>
      <c r="E1093" s="548"/>
      <c r="F1093" s="548"/>
      <c r="G1093" s="548"/>
      <c r="H1093" s="548"/>
      <c r="I1093" s="548"/>
      <c r="J1093" s="548"/>
      <c r="K1093" s="549"/>
      <c r="L1093" s="550"/>
      <c r="M1093" s="550"/>
      <c r="N1093" s="550"/>
      <c r="O1093" s="551"/>
      <c r="P1093" s="551"/>
    </row>
    <row r="1094" spans="1:16" ht="21.75" customHeight="1" x14ac:dyDescent="0.25">
      <c r="A1094" s="547"/>
      <c r="B1094" s="547"/>
      <c r="C1094" s="547"/>
      <c r="D1094" s="547"/>
      <c r="E1094" s="548"/>
      <c r="F1094" s="548"/>
      <c r="G1094" s="548"/>
      <c r="H1094" s="548"/>
      <c r="I1094" s="548"/>
      <c r="J1094" s="548"/>
      <c r="K1094" s="549"/>
      <c r="L1094" s="550"/>
      <c r="M1094" s="550"/>
      <c r="N1094" s="550"/>
      <c r="O1094" s="551"/>
      <c r="P1094" s="551"/>
    </row>
    <row r="1095" spans="1:16" ht="21.75" customHeight="1" x14ac:dyDescent="0.25">
      <c r="A1095" s="547"/>
      <c r="B1095" s="547"/>
      <c r="C1095" s="547"/>
      <c r="D1095" s="547"/>
      <c r="E1095" s="548"/>
      <c r="F1095" s="548"/>
      <c r="G1095" s="548"/>
      <c r="H1095" s="548"/>
      <c r="I1095" s="548"/>
      <c r="J1095" s="548"/>
      <c r="K1095" s="549"/>
      <c r="L1095" s="550"/>
      <c r="M1095" s="550"/>
      <c r="N1095" s="550"/>
      <c r="O1095" s="551"/>
      <c r="P1095" s="551"/>
    </row>
    <row r="1096" spans="1:16" ht="21.75" customHeight="1" x14ac:dyDescent="0.25">
      <c r="A1096" s="547"/>
      <c r="B1096" s="547"/>
      <c r="C1096" s="547"/>
      <c r="D1096" s="547"/>
      <c r="E1096" s="548"/>
      <c r="F1096" s="548"/>
      <c r="G1096" s="548"/>
      <c r="H1096" s="548"/>
      <c r="I1096" s="548"/>
      <c r="J1096" s="548"/>
      <c r="K1096" s="549"/>
      <c r="L1096" s="550"/>
      <c r="M1096" s="550"/>
      <c r="N1096" s="550"/>
      <c r="O1096" s="551"/>
      <c r="P1096" s="551"/>
    </row>
    <row r="1097" spans="1:16" ht="21.75" customHeight="1" x14ac:dyDescent="0.25">
      <c r="A1097" s="547"/>
      <c r="B1097" s="547"/>
      <c r="C1097" s="547"/>
      <c r="D1097" s="547"/>
      <c r="E1097" s="548"/>
      <c r="F1097" s="548"/>
      <c r="G1097" s="548"/>
      <c r="H1097" s="548"/>
      <c r="I1097" s="548"/>
      <c r="J1097" s="548"/>
      <c r="K1097" s="549"/>
      <c r="L1097" s="550"/>
      <c r="M1097" s="550"/>
      <c r="N1097" s="550"/>
      <c r="O1097" s="551"/>
      <c r="P1097" s="551"/>
    </row>
    <row r="1098" spans="1:16" ht="21.75" customHeight="1" x14ac:dyDescent="0.25">
      <c r="A1098" s="547"/>
      <c r="B1098" s="547"/>
      <c r="C1098" s="547"/>
      <c r="D1098" s="547"/>
      <c r="E1098" s="548"/>
      <c r="F1098" s="548"/>
      <c r="G1098" s="548"/>
      <c r="H1098" s="548"/>
      <c r="I1098" s="548"/>
      <c r="J1098" s="548"/>
      <c r="K1098" s="549"/>
      <c r="L1098" s="550"/>
      <c r="M1098" s="550"/>
      <c r="N1098" s="550"/>
      <c r="O1098" s="551"/>
      <c r="P1098" s="551"/>
    </row>
    <row r="1099" spans="1:16" ht="21.75" customHeight="1" x14ac:dyDescent="0.25">
      <c r="A1099" s="547"/>
      <c r="B1099" s="547"/>
      <c r="C1099" s="547"/>
      <c r="D1099" s="547"/>
      <c r="E1099" s="548"/>
      <c r="F1099" s="548"/>
      <c r="G1099" s="548"/>
      <c r="H1099" s="548"/>
      <c r="I1099" s="548"/>
      <c r="J1099" s="548"/>
      <c r="K1099" s="549"/>
      <c r="L1099" s="550"/>
      <c r="M1099" s="550"/>
      <c r="N1099" s="550"/>
      <c r="O1099" s="551"/>
      <c r="P1099" s="551"/>
    </row>
    <row r="1100" spans="1:16" ht="21.75" customHeight="1" x14ac:dyDescent="0.25">
      <c r="A1100" s="547"/>
      <c r="B1100" s="547"/>
      <c r="C1100" s="547"/>
      <c r="D1100" s="547"/>
      <c r="E1100" s="548"/>
      <c r="F1100" s="548"/>
      <c r="G1100" s="548"/>
      <c r="H1100" s="548"/>
      <c r="I1100" s="548"/>
      <c r="J1100" s="548"/>
      <c r="K1100" s="549"/>
      <c r="L1100" s="550"/>
      <c r="M1100" s="550"/>
      <c r="N1100" s="550"/>
      <c r="O1100" s="551"/>
      <c r="P1100" s="551"/>
    </row>
    <row r="1101" spans="1:16" ht="21.75" customHeight="1" x14ac:dyDescent="0.25">
      <c r="A1101" s="547"/>
      <c r="B1101" s="547"/>
      <c r="C1101" s="547"/>
      <c r="D1101" s="547"/>
      <c r="E1101" s="548"/>
      <c r="F1101" s="548"/>
      <c r="G1101" s="548"/>
      <c r="H1101" s="548"/>
      <c r="I1101" s="548"/>
      <c r="J1101" s="548"/>
      <c r="K1101" s="549"/>
      <c r="L1101" s="550"/>
      <c r="M1101" s="550"/>
      <c r="N1101" s="550"/>
      <c r="O1101" s="551"/>
      <c r="P1101" s="551"/>
    </row>
    <row r="1102" spans="1:16" ht="21.75" customHeight="1" x14ac:dyDescent="0.25">
      <c r="A1102" s="547"/>
      <c r="B1102" s="547"/>
      <c r="C1102" s="547"/>
      <c r="D1102" s="547"/>
      <c r="E1102" s="548"/>
      <c r="F1102" s="548"/>
      <c r="G1102" s="548"/>
      <c r="H1102" s="548"/>
      <c r="I1102" s="548"/>
      <c r="J1102" s="548"/>
      <c r="K1102" s="549"/>
      <c r="L1102" s="550"/>
      <c r="M1102" s="550"/>
      <c r="N1102" s="550"/>
      <c r="O1102" s="551"/>
      <c r="P1102" s="551"/>
    </row>
    <row r="1103" spans="1:16" ht="21.75" customHeight="1" x14ac:dyDescent="0.25">
      <c r="A1103" s="547"/>
      <c r="B1103" s="547"/>
      <c r="C1103" s="547"/>
      <c r="D1103" s="547"/>
      <c r="E1103" s="548"/>
      <c r="F1103" s="548"/>
      <c r="G1103" s="548"/>
      <c r="H1103" s="548"/>
      <c r="I1103" s="548"/>
      <c r="J1103" s="548"/>
      <c r="K1103" s="549"/>
      <c r="L1103" s="550"/>
      <c r="M1103" s="550"/>
      <c r="N1103" s="550"/>
      <c r="O1103" s="551"/>
      <c r="P1103" s="551"/>
    </row>
    <row r="1104" spans="1:16" ht="21.75" customHeight="1" x14ac:dyDescent="0.25">
      <c r="A1104" s="547"/>
      <c r="B1104" s="547"/>
      <c r="C1104" s="547"/>
      <c r="D1104" s="547"/>
      <c r="E1104" s="548"/>
      <c r="F1104" s="548"/>
      <c r="G1104" s="548"/>
      <c r="H1104" s="548"/>
      <c r="I1104" s="548"/>
      <c r="J1104" s="548"/>
      <c r="K1104" s="549"/>
      <c r="L1104" s="550"/>
      <c r="M1104" s="550"/>
      <c r="N1104" s="550"/>
      <c r="O1104" s="551"/>
      <c r="P1104" s="551"/>
    </row>
    <row r="1105" spans="1:16" ht="21.75" customHeight="1" x14ac:dyDescent="0.25">
      <c r="A1105" s="547"/>
      <c r="B1105" s="547"/>
      <c r="C1105" s="547"/>
      <c r="D1105" s="547"/>
      <c r="E1105" s="548"/>
      <c r="F1105" s="548"/>
      <c r="G1105" s="548"/>
      <c r="H1105" s="548"/>
      <c r="I1105" s="548"/>
      <c r="J1105" s="548"/>
      <c r="K1105" s="549"/>
      <c r="L1105" s="550"/>
      <c r="M1105" s="550"/>
      <c r="N1105" s="550"/>
      <c r="O1105" s="551"/>
      <c r="P1105" s="551"/>
    </row>
    <row r="1106" spans="1:16" ht="21.75" customHeight="1" x14ac:dyDescent="0.25">
      <c r="A1106" s="547"/>
      <c r="B1106" s="547"/>
      <c r="C1106" s="547"/>
      <c r="D1106" s="547"/>
      <c r="E1106" s="548"/>
      <c r="F1106" s="548"/>
      <c r="G1106" s="548"/>
      <c r="H1106" s="548"/>
      <c r="I1106" s="548"/>
      <c r="J1106" s="548"/>
      <c r="K1106" s="549"/>
      <c r="L1106" s="550"/>
      <c r="M1106" s="550"/>
      <c r="N1106" s="550"/>
      <c r="O1106" s="551"/>
      <c r="P1106" s="551"/>
    </row>
    <row r="1107" spans="1:16" ht="21.75" customHeight="1" x14ac:dyDescent="0.25">
      <c r="A1107" s="547"/>
      <c r="B1107" s="547"/>
      <c r="C1107" s="547"/>
      <c r="D1107" s="547"/>
      <c r="E1107" s="548"/>
      <c r="F1107" s="548"/>
      <c r="G1107" s="548"/>
      <c r="H1107" s="548"/>
      <c r="I1107" s="548"/>
      <c r="J1107" s="548"/>
      <c r="K1107" s="549"/>
      <c r="L1107" s="550"/>
      <c r="M1107" s="550"/>
      <c r="N1107" s="550"/>
      <c r="O1107" s="551"/>
      <c r="P1107" s="551"/>
    </row>
    <row r="1108" spans="1:16" ht="21.75" customHeight="1" x14ac:dyDescent="0.25">
      <c r="A1108" s="547"/>
      <c r="B1108" s="547"/>
      <c r="C1108" s="547"/>
      <c r="D1108" s="547"/>
      <c r="E1108" s="548"/>
      <c r="F1108" s="548"/>
      <c r="G1108" s="548"/>
      <c r="H1108" s="548"/>
      <c r="I1108" s="548"/>
      <c r="J1108" s="548"/>
      <c r="K1108" s="549"/>
      <c r="L1108" s="550"/>
      <c r="M1108" s="550"/>
      <c r="N1108" s="550"/>
      <c r="O1108" s="551"/>
      <c r="P1108" s="551"/>
    </row>
    <row r="1109" spans="1:16" ht="21.75" customHeight="1" x14ac:dyDescent="0.25">
      <c r="A1109" s="547"/>
      <c r="B1109" s="547"/>
      <c r="C1109" s="547"/>
      <c r="D1109" s="547"/>
      <c r="E1109" s="548"/>
      <c r="F1109" s="548"/>
      <c r="G1109" s="548"/>
      <c r="H1109" s="548"/>
      <c r="I1109" s="548"/>
      <c r="J1109" s="548"/>
      <c r="K1109" s="549"/>
      <c r="L1109" s="550"/>
      <c r="M1109" s="550"/>
      <c r="N1109" s="550"/>
      <c r="O1109" s="551"/>
      <c r="P1109" s="551"/>
    </row>
    <row r="1110" spans="1:16" ht="21.75" customHeight="1" x14ac:dyDescent="0.25">
      <c r="A1110" s="547"/>
      <c r="B1110" s="547"/>
      <c r="C1110" s="547"/>
      <c r="D1110" s="547"/>
      <c r="E1110" s="548"/>
      <c r="F1110" s="548"/>
      <c r="G1110" s="548"/>
      <c r="H1110" s="548"/>
      <c r="I1110" s="548"/>
      <c r="J1110" s="548"/>
      <c r="K1110" s="549"/>
      <c r="L1110" s="550"/>
      <c r="M1110" s="550"/>
      <c r="N1110" s="550"/>
      <c r="O1110" s="551"/>
      <c r="P1110" s="551"/>
    </row>
    <row r="1111" spans="1:16" ht="21.75" customHeight="1" x14ac:dyDescent="0.25">
      <c r="A1111" s="547"/>
      <c r="B1111" s="547"/>
      <c r="C1111" s="547"/>
      <c r="D1111" s="547"/>
      <c r="E1111" s="548"/>
      <c r="F1111" s="548"/>
      <c r="G1111" s="548"/>
      <c r="H1111" s="548"/>
      <c r="I1111" s="548"/>
      <c r="J1111" s="548"/>
      <c r="K1111" s="549"/>
      <c r="L1111" s="550"/>
      <c r="M1111" s="550"/>
      <c r="N1111" s="550"/>
      <c r="O1111" s="551"/>
      <c r="P1111" s="551"/>
    </row>
    <row r="1112" spans="1:16" ht="21.75" customHeight="1" x14ac:dyDescent="0.25">
      <c r="A1112" s="547"/>
      <c r="B1112" s="547"/>
      <c r="C1112" s="547"/>
      <c r="D1112" s="547"/>
      <c r="E1112" s="548"/>
      <c r="F1112" s="548"/>
      <c r="G1112" s="548"/>
      <c r="H1112" s="548"/>
      <c r="I1112" s="548"/>
      <c r="J1112" s="548"/>
      <c r="K1112" s="549"/>
      <c r="L1112" s="550"/>
      <c r="M1112" s="550"/>
      <c r="N1112" s="550"/>
      <c r="O1112" s="551"/>
      <c r="P1112" s="551"/>
    </row>
    <row r="1113" spans="1:16" ht="21.75" customHeight="1" x14ac:dyDescent="0.25">
      <c r="A1113" s="547"/>
      <c r="B1113" s="547"/>
      <c r="C1113" s="547"/>
      <c r="D1113" s="547"/>
      <c r="E1113" s="548"/>
      <c r="F1113" s="548"/>
      <c r="G1113" s="548"/>
      <c r="H1113" s="548"/>
      <c r="I1113" s="548"/>
      <c r="J1113" s="548"/>
      <c r="K1113" s="549"/>
      <c r="L1113" s="550"/>
      <c r="M1113" s="550"/>
      <c r="N1113" s="550"/>
      <c r="O1113" s="551"/>
      <c r="P1113" s="551"/>
    </row>
    <row r="1114" spans="1:16" ht="21.75" customHeight="1" x14ac:dyDescent="0.25">
      <c r="A1114" s="547"/>
      <c r="B1114" s="547"/>
      <c r="C1114" s="547"/>
      <c r="D1114" s="547"/>
      <c r="E1114" s="548"/>
      <c r="F1114" s="548"/>
      <c r="G1114" s="548"/>
      <c r="H1114" s="548"/>
      <c r="I1114" s="548"/>
      <c r="J1114" s="548"/>
      <c r="K1114" s="549"/>
      <c r="L1114" s="550"/>
      <c r="M1114" s="550"/>
      <c r="N1114" s="550"/>
      <c r="O1114" s="551"/>
      <c r="P1114" s="551"/>
    </row>
    <row r="1115" spans="1:16" ht="21.75" customHeight="1" x14ac:dyDescent="0.25">
      <c r="A1115" s="547"/>
      <c r="B1115" s="547"/>
      <c r="C1115" s="547"/>
      <c r="D1115" s="547"/>
      <c r="E1115" s="548"/>
      <c r="F1115" s="548"/>
      <c r="G1115" s="548"/>
      <c r="H1115" s="548"/>
      <c r="I1115" s="548"/>
      <c r="J1115" s="548"/>
      <c r="K1115" s="549"/>
      <c r="L1115" s="550"/>
      <c r="M1115" s="550"/>
      <c r="N1115" s="550"/>
      <c r="O1115" s="551"/>
      <c r="P1115" s="551"/>
    </row>
    <row r="1116" spans="1:16" ht="21.75" customHeight="1" x14ac:dyDescent="0.25">
      <c r="A1116" s="547"/>
      <c r="B1116" s="547"/>
      <c r="C1116" s="547"/>
      <c r="D1116" s="547"/>
      <c r="E1116" s="548"/>
      <c r="F1116" s="548"/>
      <c r="G1116" s="548"/>
      <c r="H1116" s="548"/>
      <c r="I1116" s="548"/>
      <c r="J1116" s="548"/>
      <c r="K1116" s="549"/>
      <c r="L1116" s="550"/>
      <c r="M1116" s="550"/>
      <c r="N1116" s="550"/>
      <c r="O1116" s="551"/>
      <c r="P1116" s="551"/>
    </row>
    <row r="1117" spans="1:16" ht="21.75" customHeight="1" x14ac:dyDescent="0.25">
      <c r="A1117" s="547"/>
      <c r="B1117" s="547"/>
      <c r="C1117" s="547"/>
      <c r="D1117" s="547"/>
      <c r="E1117" s="548"/>
      <c r="F1117" s="548"/>
      <c r="G1117" s="548"/>
      <c r="H1117" s="548"/>
      <c r="I1117" s="548"/>
      <c r="J1117" s="548"/>
      <c r="K1117" s="549"/>
      <c r="L1117" s="550"/>
      <c r="M1117" s="550"/>
      <c r="N1117" s="550"/>
      <c r="O1117" s="551"/>
      <c r="P1117" s="551"/>
    </row>
    <row r="1118" spans="1:16" ht="21.75" customHeight="1" x14ac:dyDescent="0.25">
      <c r="A1118" s="547"/>
      <c r="B1118" s="547"/>
      <c r="C1118" s="547"/>
      <c r="D1118" s="547"/>
      <c r="E1118" s="548"/>
      <c r="F1118" s="548"/>
      <c r="G1118" s="548"/>
      <c r="H1118" s="548"/>
      <c r="I1118" s="548"/>
      <c r="J1118" s="548"/>
      <c r="K1118" s="549"/>
      <c r="L1118" s="550"/>
      <c r="M1118" s="550"/>
      <c r="N1118" s="550"/>
      <c r="O1118" s="551"/>
      <c r="P1118" s="551"/>
    </row>
    <row r="1119" spans="1:16" ht="21.75" customHeight="1" x14ac:dyDescent="0.25">
      <c r="A1119" s="547"/>
      <c r="B1119" s="547"/>
      <c r="C1119" s="547"/>
      <c r="D1119" s="547"/>
      <c r="E1119" s="548"/>
      <c r="F1119" s="548"/>
      <c r="G1119" s="548"/>
      <c r="H1119" s="548"/>
      <c r="I1119" s="548"/>
      <c r="J1119" s="548"/>
      <c r="K1119" s="549"/>
      <c r="L1119" s="550"/>
      <c r="M1119" s="550"/>
      <c r="N1119" s="550"/>
      <c r="O1119" s="551"/>
      <c r="P1119" s="551"/>
    </row>
    <row r="1120" spans="1:16" ht="21.75" customHeight="1" x14ac:dyDescent="0.25">
      <c r="A1120" s="547"/>
      <c r="B1120" s="547"/>
      <c r="C1120" s="547"/>
      <c r="D1120" s="547"/>
      <c r="E1120" s="548"/>
      <c r="F1120" s="548"/>
      <c r="G1120" s="548"/>
      <c r="H1120" s="548"/>
      <c r="I1120" s="548"/>
      <c r="J1120" s="548"/>
      <c r="K1120" s="549"/>
      <c r="L1120" s="550"/>
      <c r="M1120" s="550"/>
      <c r="N1120" s="550"/>
      <c r="O1120" s="551"/>
      <c r="P1120" s="551"/>
    </row>
    <row r="1121" spans="1:16" ht="21.75" customHeight="1" x14ac:dyDescent="0.25">
      <c r="A1121" s="547"/>
      <c r="B1121" s="547"/>
      <c r="C1121" s="547"/>
      <c r="D1121" s="547"/>
      <c r="E1121" s="548"/>
      <c r="F1121" s="548"/>
      <c r="G1121" s="548"/>
      <c r="H1121" s="548"/>
      <c r="I1121" s="548"/>
      <c r="J1121" s="548"/>
      <c r="K1121" s="549"/>
      <c r="L1121" s="550"/>
      <c r="M1121" s="550"/>
      <c r="N1121" s="550"/>
      <c r="O1121" s="551"/>
      <c r="P1121" s="551"/>
    </row>
    <row r="1122" spans="1:16" ht="21.75" customHeight="1" x14ac:dyDescent="0.25">
      <c r="A1122" s="547"/>
      <c r="B1122" s="547"/>
      <c r="C1122" s="547"/>
      <c r="D1122" s="547"/>
      <c r="E1122" s="548"/>
      <c r="F1122" s="548"/>
      <c r="G1122" s="548"/>
      <c r="H1122" s="548"/>
      <c r="I1122" s="548"/>
      <c r="J1122" s="548"/>
      <c r="K1122" s="549"/>
      <c r="L1122" s="550"/>
      <c r="M1122" s="550"/>
      <c r="N1122" s="550"/>
      <c r="O1122" s="551"/>
      <c r="P1122" s="551"/>
    </row>
    <row r="1123" spans="1:16" ht="21.75" customHeight="1" x14ac:dyDescent="0.25">
      <c r="A1123" s="547"/>
      <c r="B1123" s="547"/>
      <c r="C1123" s="547"/>
      <c r="D1123" s="547"/>
      <c r="E1123" s="548"/>
      <c r="F1123" s="548"/>
      <c r="G1123" s="548"/>
      <c r="H1123" s="548"/>
      <c r="I1123" s="548"/>
      <c r="J1123" s="548"/>
      <c r="K1123" s="549"/>
      <c r="L1123" s="550"/>
      <c r="M1123" s="550"/>
      <c r="N1123" s="550"/>
      <c r="O1123" s="551"/>
      <c r="P1123" s="551"/>
    </row>
    <row r="1124" spans="1:16" ht="21.75" customHeight="1" x14ac:dyDescent="0.25">
      <c r="A1124" s="547"/>
      <c r="B1124" s="547"/>
      <c r="C1124" s="547"/>
      <c r="D1124" s="547"/>
      <c r="E1124" s="548"/>
      <c r="F1124" s="548"/>
      <c r="G1124" s="548"/>
      <c r="H1124" s="548"/>
      <c r="I1124" s="548"/>
      <c r="J1124" s="548"/>
      <c r="K1124" s="549"/>
      <c r="L1124" s="550"/>
      <c r="M1124" s="550"/>
      <c r="N1124" s="550"/>
      <c r="O1124" s="551"/>
      <c r="P1124" s="551"/>
    </row>
    <row r="1125" spans="1:16" ht="21.75" customHeight="1" x14ac:dyDescent="0.25">
      <c r="A1125" s="547"/>
      <c r="B1125" s="547"/>
      <c r="C1125" s="547"/>
      <c r="D1125" s="547"/>
      <c r="E1125" s="548"/>
      <c r="F1125" s="548"/>
      <c r="G1125" s="548"/>
      <c r="H1125" s="548"/>
      <c r="I1125" s="548"/>
      <c r="J1125" s="548"/>
      <c r="K1125" s="549"/>
      <c r="L1125" s="550"/>
      <c r="M1125" s="550"/>
      <c r="N1125" s="550"/>
      <c r="O1125" s="551"/>
      <c r="P1125" s="551"/>
    </row>
    <row r="1126" spans="1:16" ht="21.75" customHeight="1" x14ac:dyDescent="0.25">
      <c r="A1126" s="547"/>
      <c r="B1126" s="547"/>
      <c r="C1126" s="547"/>
      <c r="D1126" s="547"/>
      <c r="E1126" s="548"/>
      <c r="F1126" s="548"/>
      <c r="G1126" s="548"/>
      <c r="H1126" s="548"/>
      <c r="I1126" s="548"/>
      <c r="J1126" s="548"/>
      <c r="K1126" s="549"/>
      <c r="L1126" s="550"/>
      <c r="M1126" s="550"/>
      <c r="N1126" s="550"/>
      <c r="O1126" s="551"/>
      <c r="P1126" s="551"/>
    </row>
    <row r="1127" spans="1:16" ht="21.75" customHeight="1" x14ac:dyDescent="0.25">
      <c r="A1127" s="547"/>
      <c r="B1127" s="547"/>
      <c r="C1127" s="547"/>
      <c r="D1127" s="547"/>
      <c r="E1127" s="548"/>
      <c r="F1127" s="548"/>
      <c r="G1127" s="548"/>
      <c r="H1127" s="548"/>
      <c r="I1127" s="548"/>
      <c r="J1127" s="548"/>
      <c r="K1127" s="549"/>
      <c r="L1127" s="550"/>
      <c r="M1127" s="550"/>
      <c r="N1127" s="550"/>
      <c r="O1127" s="551"/>
      <c r="P1127" s="551"/>
    </row>
    <row r="1128" spans="1:16" ht="21.75" customHeight="1" x14ac:dyDescent="0.25">
      <c r="A1128" s="547"/>
      <c r="B1128" s="547"/>
      <c r="C1128" s="547"/>
      <c r="D1128" s="547"/>
      <c r="E1128" s="548"/>
      <c r="F1128" s="548"/>
      <c r="G1128" s="548"/>
      <c r="H1128" s="548"/>
      <c r="I1128" s="548"/>
      <c r="J1128" s="548"/>
      <c r="K1128" s="549"/>
      <c r="L1128" s="550"/>
      <c r="M1128" s="550"/>
      <c r="N1128" s="550"/>
      <c r="O1128" s="551"/>
      <c r="P1128" s="551"/>
    </row>
    <row r="1129" spans="1:16" ht="21.75" customHeight="1" x14ac:dyDescent="0.25">
      <c r="A1129" s="547"/>
      <c r="B1129" s="547"/>
      <c r="C1129" s="547"/>
      <c r="D1129" s="547"/>
      <c r="E1129" s="548"/>
      <c r="F1129" s="548"/>
      <c r="G1129" s="548"/>
      <c r="H1129" s="548"/>
      <c r="I1129" s="548"/>
      <c r="J1129" s="548"/>
      <c r="K1129" s="549"/>
      <c r="L1129" s="550"/>
      <c r="M1129" s="550"/>
      <c r="N1129" s="550"/>
      <c r="O1129" s="551"/>
      <c r="P1129" s="551"/>
    </row>
    <row r="1130" spans="1:16" ht="21.75" customHeight="1" x14ac:dyDescent="0.25">
      <c r="A1130" s="547"/>
      <c r="B1130" s="547"/>
      <c r="C1130" s="547"/>
      <c r="D1130" s="547"/>
      <c r="E1130" s="548"/>
      <c r="F1130" s="548"/>
      <c r="G1130" s="548"/>
      <c r="H1130" s="548"/>
      <c r="I1130" s="548"/>
      <c r="J1130" s="548"/>
      <c r="K1130" s="549"/>
      <c r="L1130" s="550"/>
      <c r="M1130" s="550"/>
      <c r="N1130" s="550"/>
      <c r="O1130" s="551"/>
      <c r="P1130" s="551"/>
    </row>
    <row r="1131" spans="1:16" ht="21.75" customHeight="1" x14ac:dyDescent="0.25">
      <c r="A1131" s="547"/>
      <c r="B1131" s="547"/>
      <c r="C1131" s="547"/>
      <c r="D1131" s="547"/>
      <c r="E1131" s="548"/>
      <c r="F1131" s="548"/>
      <c r="G1131" s="548"/>
      <c r="H1131" s="548"/>
      <c r="I1131" s="548"/>
      <c r="J1131" s="548"/>
      <c r="K1131" s="549"/>
      <c r="L1131" s="550"/>
      <c r="M1131" s="550"/>
      <c r="N1131" s="550"/>
      <c r="O1131" s="551"/>
      <c r="P1131" s="551"/>
    </row>
    <row r="1132" spans="1:16" ht="21.75" customHeight="1" x14ac:dyDescent="0.25">
      <c r="A1132" s="547"/>
      <c r="B1132" s="547"/>
      <c r="C1132" s="547"/>
      <c r="D1132" s="547"/>
      <c r="E1132" s="548"/>
      <c r="F1132" s="548"/>
      <c r="G1132" s="548"/>
      <c r="H1132" s="548"/>
      <c r="I1132" s="548"/>
      <c r="J1132" s="548"/>
      <c r="K1132" s="549"/>
      <c r="L1132" s="550"/>
      <c r="M1132" s="550"/>
      <c r="N1132" s="550"/>
      <c r="O1132" s="551"/>
      <c r="P1132" s="551"/>
    </row>
    <row r="1133" spans="1:16" ht="21.75" customHeight="1" x14ac:dyDescent="0.25">
      <c r="A1133" s="547"/>
      <c r="B1133" s="547"/>
      <c r="C1133" s="547"/>
      <c r="D1133" s="547"/>
      <c r="E1133" s="548"/>
      <c r="F1133" s="548"/>
      <c r="G1133" s="548"/>
      <c r="H1133" s="548"/>
      <c r="I1133" s="548"/>
      <c r="J1133" s="548"/>
      <c r="K1133" s="549"/>
      <c r="L1133" s="550"/>
      <c r="M1133" s="550"/>
      <c r="N1133" s="550"/>
      <c r="O1133" s="551"/>
      <c r="P1133" s="551"/>
    </row>
    <row r="1134" spans="1:16" ht="21.75" customHeight="1" x14ac:dyDescent="0.25">
      <c r="A1134" s="547"/>
      <c r="B1134" s="547"/>
      <c r="C1134" s="547"/>
      <c r="D1134" s="547"/>
      <c r="E1134" s="548"/>
      <c r="F1134" s="548"/>
      <c r="G1134" s="548"/>
      <c r="H1134" s="548"/>
      <c r="I1134" s="548"/>
      <c r="J1134" s="548"/>
      <c r="K1134" s="549"/>
      <c r="L1134" s="550"/>
      <c r="M1134" s="550"/>
      <c r="N1134" s="550"/>
      <c r="O1134" s="551"/>
      <c r="P1134" s="551"/>
    </row>
    <row r="1135" spans="1:16" ht="21.75" customHeight="1" x14ac:dyDescent="0.25">
      <c r="A1135" s="547"/>
      <c r="B1135" s="547"/>
      <c r="C1135" s="547"/>
      <c r="D1135" s="547"/>
      <c r="E1135" s="548"/>
      <c r="F1135" s="548"/>
      <c r="G1135" s="548"/>
      <c r="H1135" s="548"/>
      <c r="I1135" s="548"/>
      <c r="J1135" s="548"/>
      <c r="K1135" s="549"/>
      <c r="L1135" s="550"/>
      <c r="M1135" s="550"/>
      <c r="N1135" s="550"/>
      <c r="O1135" s="551"/>
      <c r="P1135" s="551"/>
    </row>
    <row r="1136" spans="1:16" ht="21.75" customHeight="1" x14ac:dyDescent="0.25">
      <c r="A1136" s="547"/>
      <c r="B1136" s="547"/>
      <c r="C1136" s="547"/>
      <c r="D1136" s="547"/>
      <c r="E1136" s="548"/>
      <c r="F1136" s="548"/>
      <c r="G1136" s="548"/>
      <c r="H1136" s="548"/>
      <c r="I1136" s="548"/>
      <c r="J1136" s="548"/>
      <c r="K1136" s="549"/>
      <c r="L1136" s="550"/>
      <c r="M1136" s="550"/>
      <c r="N1136" s="550"/>
      <c r="O1136" s="551"/>
      <c r="P1136" s="551"/>
    </row>
    <row r="1137" spans="1:16" ht="21.75" customHeight="1" x14ac:dyDescent="0.25">
      <c r="A1137" s="547"/>
      <c r="B1137" s="547"/>
      <c r="C1137" s="547"/>
      <c r="D1137" s="547"/>
      <c r="E1137" s="548"/>
      <c r="F1137" s="548"/>
      <c r="G1137" s="548"/>
      <c r="H1137" s="548"/>
      <c r="I1137" s="548"/>
      <c r="J1137" s="548"/>
      <c r="K1137" s="549"/>
      <c r="L1137" s="550"/>
      <c r="M1137" s="550"/>
      <c r="N1137" s="550"/>
      <c r="O1137" s="551"/>
      <c r="P1137" s="551"/>
    </row>
    <row r="1138" spans="1:16" ht="21.75" customHeight="1" x14ac:dyDescent="0.25">
      <c r="A1138" s="547"/>
      <c r="B1138" s="547"/>
      <c r="C1138" s="547"/>
      <c r="D1138" s="547"/>
      <c r="E1138" s="548"/>
      <c r="F1138" s="548"/>
      <c r="G1138" s="548"/>
      <c r="H1138" s="548"/>
      <c r="I1138" s="548"/>
      <c r="J1138" s="548"/>
      <c r="K1138" s="549"/>
      <c r="L1138" s="550"/>
      <c r="M1138" s="550"/>
      <c r="N1138" s="550"/>
      <c r="O1138" s="551"/>
      <c r="P1138" s="551"/>
    </row>
    <row r="1139" spans="1:16" ht="21.75" customHeight="1" x14ac:dyDescent="0.25">
      <c r="A1139" s="547"/>
      <c r="B1139" s="547"/>
      <c r="C1139" s="547"/>
      <c r="D1139" s="547"/>
      <c r="E1139" s="548"/>
      <c r="F1139" s="548"/>
      <c r="G1139" s="548"/>
      <c r="H1139" s="548"/>
      <c r="I1139" s="548"/>
      <c r="J1139" s="548"/>
      <c r="K1139" s="549"/>
      <c r="L1139" s="550"/>
      <c r="M1139" s="550"/>
      <c r="N1139" s="550"/>
      <c r="O1139" s="551"/>
      <c r="P1139" s="551"/>
    </row>
    <row r="1140" spans="1:16" ht="21.75" customHeight="1" x14ac:dyDescent="0.25">
      <c r="A1140" s="547"/>
      <c r="B1140" s="547"/>
      <c r="C1140" s="547"/>
      <c r="D1140" s="547"/>
      <c r="E1140" s="548"/>
      <c r="F1140" s="548"/>
      <c r="G1140" s="548"/>
      <c r="H1140" s="548"/>
      <c r="I1140" s="548"/>
      <c r="J1140" s="548"/>
      <c r="K1140" s="549"/>
      <c r="L1140" s="550"/>
      <c r="M1140" s="550"/>
      <c r="N1140" s="550"/>
      <c r="O1140" s="551"/>
      <c r="P1140" s="551"/>
    </row>
    <row r="1141" spans="1:16" ht="21.75" customHeight="1" x14ac:dyDescent="0.25">
      <c r="A1141" s="547"/>
      <c r="B1141" s="547"/>
      <c r="C1141" s="547"/>
      <c r="D1141" s="547"/>
      <c r="E1141" s="548"/>
      <c r="F1141" s="548"/>
      <c r="G1141" s="548"/>
      <c r="H1141" s="548"/>
      <c r="I1141" s="548"/>
      <c r="J1141" s="548"/>
      <c r="K1141" s="549"/>
      <c r="L1141" s="550"/>
      <c r="M1141" s="550"/>
      <c r="N1141" s="550"/>
      <c r="O1141" s="551"/>
      <c r="P1141" s="551"/>
    </row>
    <row r="1142" spans="1:16" ht="21.75" customHeight="1" x14ac:dyDescent="0.25">
      <c r="A1142" s="547"/>
      <c r="B1142" s="547"/>
      <c r="C1142" s="547"/>
      <c r="D1142" s="547"/>
      <c r="E1142" s="548"/>
      <c r="F1142" s="548"/>
      <c r="G1142" s="548"/>
      <c r="H1142" s="548"/>
      <c r="I1142" s="548"/>
      <c r="J1142" s="548"/>
      <c r="K1142" s="549"/>
      <c r="L1142" s="550"/>
      <c r="M1142" s="550"/>
      <c r="N1142" s="550"/>
      <c r="O1142" s="551"/>
      <c r="P1142" s="551"/>
    </row>
    <row r="1143" spans="1:16" ht="21.75" customHeight="1" x14ac:dyDescent="0.25">
      <c r="A1143" s="547"/>
      <c r="B1143" s="547"/>
      <c r="C1143" s="547"/>
      <c r="D1143" s="547"/>
      <c r="E1143" s="548"/>
      <c r="F1143" s="548"/>
      <c r="G1143" s="548"/>
      <c r="H1143" s="548"/>
      <c r="I1143" s="548"/>
      <c r="J1143" s="548"/>
      <c r="K1143" s="549"/>
      <c r="L1143" s="550"/>
      <c r="M1143" s="550"/>
      <c r="N1143" s="550"/>
      <c r="O1143" s="551"/>
      <c r="P1143" s="551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31496062992125984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2022-06-16T05:49:30Z</cp:lastPrinted>
  <dcterms:modified xsi:type="dcterms:W3CDTF">2022-06-16T05:50:26Z</dcterms:modified>
</cp:coreProperties>
</file>